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10" windowHeight="8595" tabRatio="793" activeTab="0"/>
  </bookViews>
  <sheets>
    <sheet name="Contents" sheetId="1" r:id="rId1"/>
    <sheet name="Demog &amp; vision" sheetId="2" r:id="rId2"/>
    <sheet name="R-Ped Main analyses" sheetId="3" r:id="rId3"/>
    <sheet name="I-Ped" sheetId="4" r:id="rId4"/>
    <sheet name="R-Ped City vs Rural" sheetId="5" r:id="rId5"/>
    <sheet name="Other drive measures" sheetId="6" r:id="rId6"/>
    <sheet name="R-Ped Session 1 vs 2" sheetId="7" r:id="rId7"/>
  </sheets>
  <definedNames/>
  <calcPr fullCalcOnLoad="1"/>
</workbook>
</file>

<file path=xl/comments2.xml><?xml version="1.0" encoding="utf-8"?>
<comments xmlns="http://schemas.openxmlformats.org/spreadsheetml/2006/main">
  <authors>
    <author>Alex</author>
  </authors>
  <commentList>
    <comment ref="F3" authorId="0">
      <text>
        <r>
          <rPr>
            <sz val="10"/>
            <rFont val="Tahoma"/>
            <family val="0"/>
          </rPr>
          <t>NV assigned side of hemianopia according to matched HH driver</t>
        </r>
      </text>
    </comment>
  </commentList>
</comments>
</file>

<file path=xl/comments6.xml><?xml version="1.0" encoding="utf-8"?>
<comments xmlns="http://schemas.openxmlformats.org/spreadsheetml/2006/main">
  <authors>
    <author>Alex</author>
  </authors>
  <commentList>
    <comment ref="J3" authorId="0">
      <text>
        <r>
          <rPr>
            <sz val="10"/>
            <rFont val="Tahoma"/>
            <family val="0"/>
          </rPr>
          <t>Expressed as a percentage of total number of stop signs encountered in the drives at the two sessions</t>
        </r>
      </text>
    </comment>
    <comment ref="K3" authorId="0">
      <text>
        <r>
          <rPr>
            <sz val="10"/>
            <rFont val="Tahoma"/>
            <family val="0"/>
          </rPr>
          <t xml:space="preserve">Expressed as a percent of the total number of Traffic lights encountered in drives at both sessions </t>
        </r>
      </text>
    </comment>
    <comment ref="M3" authorId="0">
      <text>
        <r>
          <rPr>
            <sz val="10"/>
            <rFont val="Tahoma"/>
            <family val="0"/>
          </rPr>
          <t>Expressed as a percent of the total number of pedestrian figure presentations in the two sessions</t>
        </r>
      </text>
    </comment>
  </commentList>
</comments>
</file>

<file path=xl/sharedStrings.xml><?xml version="1.0" encoding="utf-8"?>
<sst xmlns="http://schemas.openxmlformats.org/spreadsheetml/2006/main" count="698" uniqueCount="303">
  <si>
    <t>PDEBTC</t>
  </si>
  <si>
    <t>RMEBTC</t>
  </si>
  <si>
    <t>PDEBTH</t>
  </si>
  <si>
    <t>RMEBTH</t>
  </si>
  <si>
    <t>PDEBLC</t>
  </si>
  <si>
    <t>RMEBLC</t>
  </si>
  <si>
    <t>PDEBLH</t>
  </si>
  <si>
    <t>RMEBLH</t>
  </si>
  <si>
    <t>PDESTC</t>
  </si>
  <si>
    <t>RMESTC</t>
  </si>
  <si>
    <t>PDESTH</t>
  </si>
  <si>
    <t>RMESTH</t>
  </si>
  <si>
    <t>PDESLC</t>
  </si>
  <si>
    <t>RMESLC</t>
  </si>
  <si>
    <t>PDESLH</t>
  </si>
  <si>
    <t>RMESLH</t>
  </si>
  <si>
    <t>PDEBT_GD</t>
  </si>
  <si>
    <t>ASCM</t>
  </si>
  <si>
    <t>ASHM</t>
  </si>
  <si>
    <t>NV</t>
  </si>
  <si>
    <t>Left</t>
  </si>
  <si>
    <t>yes</t>
  </si>
  <si>
    <t>Included</t>
  </si>
  <si>
    <t>Excluded</t>
  </si>
  <si>
    <t>Right</t>
  </si>
  <si>
    <t>HH</t>
  </si>
  <si>
    <t>LHH</t>
  </si>
  <si>
    <t>no</t>
  </si>
  <si>
    <t>&lt; 80</t>
  </si>
  <si>
    <t>RHH</t>
  </si>
  <si>
    <t>Gender</t>
  </si>
  <si>
    <t>Side of hemianopia</t>
  </si>
  <si>
    <t>Time since onset of HH (years)</t>
  </si>
  <si>
    <t>Current driver?</t>
  </si>
  <si>
    <t>Years since licensed</t>
  </si>
  <si>
    <t>Years since stopped driving</t>
  </si>
  <si>
    <t>VA (logMAR)</t>
  </si>
  <si>
    <t>Blind Small</t>
  </si>
  <si>
    <t>City</t>
  </si>
  <si>
    <t>Rural</t>
  </si>
  <si>
    <t>Blind large</t>
  </si>
  <si>
    <t>Seeing Small</t>
  </si>
  <si>
    <t>Seeing large</t>
  </si>
  <si>
    <t>Median</t>
  </si>
  <si>
    <t>Proportion detected (%)</t>
  </si>
  <si>
    <t>Collapsed across side and eccentricity, rural and city driving</t>
  </si>
  <si>
    <t>Session 1</t>
  </si>
  <si>
    <t>Session 2</t>
  </si>
  <si>
    <t>PD1</t>
  </si>
  <si>
    <t>PD2</t>
  </si>
  <si>
    <t>RM1</t>
  </si>
  <si>
    <t>RM2</t>
  </si>
  <si>
    <t>PD1EBT</t>
  </si>
  <si>
    <t>PD1EBL</t>
  </si>
  <si>
    <t>PD1EST</t>
  </si>
  <si>
    <t>PD1ESL</t>
  </si>
  <si>
    <t>PD2EBT</t>
  </si>
  <si>
    <t>PD2EBL</t>
  </si>
  <si>
    <t>PD2EST</t>
  </si>
  <si>
    <t>PD2ESL</t>
  </si>
  <si>
    <t>RM1EBT</t>
  </si>
  <si>
    <t>RM1EBL</t>
  </si>
  <si>
    <t>RM1EST</t>
  </si>
  <si>
    <t>RM1ESL</t>
  </si>
  <si>
    <t>RM2EBT</t>
  </si>
  <si>
    <t>RM2EBL</t>
  </si>
  <si>
    <t>RM2EST</t>
  </si>
  <si>
    <t>RM2ESL</t>
  </si>
  <si>
    <t xml:space="preserve">Means only calculated for subjects with data for session 1 and session 2 </t>
  </si>
  <si>
    <t>Cause of HH</t>
  </si>
  <si>
    <t>PDEBT</t>
  </si>
  <si>
    <t>PDEBL</t>
  </si>
  <si>
    <t>PDEST</t>
  </si>
  <si>
    <t>PDESL</t>
  </si>
  <si>
    <t xml:space="preserve">HH drivers </t>
  </si>
  <si>
    <t>80+</t>
  </si>
  <si>
    <t>TPAL</t>
  </si>
  <si>
    <t>NDAL</t>
  </si>
  <si>
    <t>TPAR</t>
  </si>
  <si>
    <t>NDAR</t>
  </si>
  <si>
    <t>TPBL</t>
  </si>
  <si>
    <t>NDBL</t>
  </si>
  <si>
    <t>TPCL</t>
  </si>
  <si>
    <t>NDCL</t>
  </si>
  <si>
    <t>TPDR</t>
  </si>
  <si>
    <t>NDDR</t>
  </si>
  <si>
    <t>Number detected</t>
  </si>
  <si>
    <t>Number presented</t>
  </si>
  <si>
    <t>Totals</t>
  </si>
  <si>
    <t>Percent detections</t>
  </si>
  <si>
    <t>All I-Peds</t>
  </si>
  <si>
    <t>Proportion detected (%); data pooled across 2 sessions</t>
  </si>
  <si>
    <t>m/s</t>
  </si>
  <si>
    <t>mph</t>
  </si>
  <si>
    <t>All city segments</t>
  </si>
  <si>
    <t>All rural segments</t>
  </si>
  <si>
    <t>Number</t>
  </si>
  <si>
    <t>"Left"</t>
  </si>
  <si>
    <t>"Right"</t>
  </si>
  <si>
    <t>Other comments</t>
  </si>
  <si>
    <t>Left hemiparesis</t>
  </si>
  <si>
    <t>Stroke</t>
  </si>
  <si>
    <t>Tumor surgery</t>
  </si>
  <si>
    <t>Trauma</t>
  </si>
  <si>
    <t>3 simulator sessions</t>
  </si>
  <si>
    <t>Macular sparing</t>
  </si>
  <si>
    <t>Fail to stop</t>
  </si>
  <si>
    <t>At stop signs</t>
  </si>
  <si>
    <t>False honks</t>
  </si>
  <si>
    <t>Percent</t>
  </si>
  <si>
    <t>Speed (data pooled across 2 sessions)</t>
  </si>
  <si>
    <t xml:space="preserve">Crashes </t>
  </si>
  <si>
    <t>Crashes, fail to stop etc - data is pooled across the 2 sessions</t>
  </si>
  <si>
    <t xml:space="preserve">This workbook is provided to you to share data reported in: </t>
  </si>
  <si>
    <t>Simulator-driving with hemianopia:
1. Detection performance</t>
  </si>
  <si>
    <t>Demography</t>
  </si>
  <si>
    <t>Subject ID</t>
  </si>
  <si>
    <t>NV1</t>
  </si>
  <si>
    <t>NV2</t>
  </si>
  <si>
    <t>NV3</t>
  </si>
  <si>
    <t>NV4</t>
  </si>
  <si>
    <t>NV5</t>
  </si>
  <si>
    <t>NV6</t>
  </si>
  <si>
    <t>NV7</t>
  </si>
  <si>
    <t>NV8</t>
  </si>
  <si>
    <t>NV9</t>
  </si>
  <si>
    <t>NV10</t>
  </si>
  <si>
    <t>NV11</t>
  </si>
  <si>
    <t>NV12</t>
  </si>
  <si>
    <t>HH1</t>
  </si>
  <si>
    <t>HH2</t>
  </si>
  <si>
    <t>HH3</t>
  </si>
  <si>
    <t>HH4</t>
  </si>
  <si>
    <t>HH5</t>
  </si>
  <si>
    <t>HH6</t>
  </si>
  <si>
    <t>HH7</t>
  </si>
  <si>
    <t>HH8</t>
  </si>
  <si>
    <t>HH9</t>
  </si>
  <si>
    <t>HH10</t>
  </si>
  <si>
    <t>HH11</t>
  </si>
  <si>
    <t>HH12</t>
  </si>
  <si>
    <t>m</t>
  </si>
  <si>
    <t>f</t>
  </si>
  <si>
    <t>Age 
(years)</t>
  </si>
  <si>
    <t>Stdev =</t>
  </si>
  <si>
    <t xml:space="preserve">Min = </t>
  </si>
  <si>
    <t xml:space="preserve">max = </t>
  </si>
  <si>
    <t>Side of 
hemianopia
or
Assigned side for NV</t>
  </si>
  <si>
    <t>Mini Mental State Examination
(MMSE)</t>
  </si>
  <si>
    <t>VA (Snellen)
20/nn</t>
  </si>
  <si>
    <t>%</t>
  </si>
  <si>
    <t>Total Subjects</t>
  </si>
  <si>
    <t>Age</t>
  </si>
  <si>
    <t xml:space="preserve">Mean = </t>
  </si>
  <si>
    <t>MMSE Score</t>
  </si>
  <si>
    <t>Right Hemianopia</t>
  </si>
  <si>
    <t>Hemianopia - stroke</t>
  </si>
  <si>
    <t>Hemianopia - time since onset
(years)</t>
  </si>
  <si>
    <t>NA</t>
  </si>
  <si>
    <t>All participants</t>
  </si>
  <si>
    <t xml:space="preserve">No. = </t>
  </si>
  <si>
    <t>Hemianopia</t>
  </si>
  <si>
    <t>Driving</t>
  </si>
  <si>
    <r>
      <t>HH</t>
    </r>
    <r>
      <rPr>
        <sz val="10"/>
        <rFont val="Arial"/>
        <family val="0"/>
      </rPr>
      <t xml:space="preserve"> = Homonymous hemianopia</t>
    </r>
  </si>
  <si>
    <r>
      <t>NV</t>
    </r>
    <r>
      <rPr>
        <sz val="10"/>
        <rFont val="Arial"/>
        <family val="0"/>
      </rPr>
      <t xml:space="preserve"> = Normal vision</t>
    </r>
  </si>
  <si>
    <t>Current driving</t>
  </si>
  <si>
    <t xml:space="preserve">No. of males = </t>
  </si>
  <si>
    <t>Participants with Normal Vision</t>
  </si>
  <si>
    <t>Participants with Homonymous Hemianopia</t>
  </si>
  <si>
    <t>Visual Acuity</t>
  </si>
  <si>
    <t>Stroke onset: Min =</t>
  </si>
  <si>
    <t xml:space="preserve">Max = </t>
  </si>
  <si>
    <t>Groupings</t>
  </si>
  <si>
    <t>2-way: 
HH or NV</t>
  </si>
  <si>
    <t xml:space="preserve"> 3-way: 
NV, LHH, or RHH</t>
  </si>
  <si>
    <t/>
  </si>
  <si>
    <t>Small Eccentricities</t>
  </si>
  <si>
    <t>Large Eccentricities</t>
  </si>
  <si>
    <t>Blind side</t>
  </si>
  <si>
    <t>Seeing side</t>
  </si>
  <si>
    <t>80% or better detection   blind side small eccentricities</t>
  </si>
  <si>
    <t>Response time subset</t>
  </si>
  <si>
    <t>Median =</t>
  </si>
  <si>
    <t>Proportion detected (%) City and Rural combined; data pooled across 2 sessions*</t>
  </si>
  <si>
    <t>Blind Side</t>
  </si>
  <si>
    <t>Roadway Pedestrians - Main Analyses</t>
  </si>
  <si>
    <r>
      <t>*</t>
    </r>
    <r>
      <rPr>
        <sz val="10"/>
        <rFont val="Arial"/>
        <family val="0"/>
      </rPr>
      <t>Subjects HH2 and  HH11 data pooled across 3 simulator sessions</t>
    </r>
  </si>
  <si>
    <t>Roadway pedestrian detection rates (%)</t>
  </si>
  <si>
    <t>Roadway Pedestrian response times</t>
  </si>
  <si>
    <t xml:space="preserve">Minimum = </t>
  </si>
  <si>
    <t xml:space="preserve">Maximum = </t>
  </si>
  <si>
    <r>
      <t>HH</t>
    </r>
    <r>
      <rPr>
        <sz val="10"/>
        <rFont val="Arial"/>
        <family val="0"/>
      </rPr>
      <t xml:space="preserve"> driver whose performance was close to NV drivers</t>
    </r>
  </si>
  <si>
    <r>
      <t>A</t>
    </r>
    <r>
      <rPr>
        <b/>
        <vertAlign val="subscript"/>
        <sz val="10"/>
        <rFont val="Arial"/>
        <family val="2"/>
      </rPr>
      <t>L</t>
    </r>
  </si>
  <si>
    <r>
      <t>A</t>
    </r>
    <r>
      <rPr>
        <b/>
        <vertAlign val="subscript"/>
        <sz val="10"/>
        <rFont val="Arial"/>
        <family val="2"/>
      </rPr>
      <t>R</t>
    </r>
  </si>
  <si>
    <r>
      <t>B</t>
    </r>
    <r>
      <rPr>
        <b/>
        <vertAlign val="subscript"/>
        <sz val="10"/>
        <rFont val="Arial"/>
        <family val="2"/>
      </rPr>
      <t>L</t>
    </r>
  </si>
  <si>
    <r>
      <t>C</t>
    </r>
    <r>
      <rPr>
        <b/>
        <vertAlign val="subscript"/>
        <sz val="10"/>
        <rFont val="Arial"/>
        <family val="2"/>
      </rPr>
      <t>L</t>
    </r>
  </si>
  <si>
    <r>
      <t>D</t>
    </r>
    <r>
      <rPr>
        <b/>
        <vertAlign val="subscript"/>
        <sz val="10"/>
        <rFont val="Arial"/>
        <family val="2"/>
      </rPr>
      <t>R</t>
    </r>
  </si>
  <si>
    <t>NV =</t>
  </si>
  <si>
    <t>Left Hem =</t>
  </si>
  <si>
    <t>Right Hem =</t>
  </si>
  <si>
    <t>Roadway Pedestrian
City vs Rural</t>
  </si>
  <si>
    <t>Collapsed across side and eccentricities</t>
  </si>
  <si>
    <t>Other drive measures</t>
  </si>
  <si>
    <t>At red traffic light</t>
  </si>
  <si>
    <t>Proportion detected (%) :</t>
  </si>
  <si>
    <t>Response time(s); data pooled across 2 sessions</t>
  </si>
  <si>
    <t>Response times:</t>
  </si>
  <si>
    <t>Left HH =</t>
  </si>
  <si>
    <t>Right HH =</t>
  </si>
  <si>
    <t>Response time(s)</t>
  </si>
  <si>
    <t xml:space="preserve">Median = </t>
  </si>
  <si>
    <t>Number of  False Honks</t>
  </si>
  <si>
    <t>Number of Crashes</t>
  </si>
  <si>
    <t>Total =</t>
  </si>
  <si>
    <t>Failed  to Stop  at Signs</t>
  </si>
  <si>
    <t>Failed  to Stop at Red Lights</t>
  </si>
  <si>
    <t>NV
Collapse across side &amp; eccentricity</t>
  </si>
  <si>
    <t>Stdev</t>
  </si>
  <si>
    <t>Mean
(seconds)</t>
  </si>
  <si>
    <t>Differences in detection performance for city and rural driving</t>
  </si>
  <si>
    <t>Detection rates (%)*</t>
  </si>
  <si>
    <r>
      <t>Response times</t>
    </r>
    <r>
      <rPr>
        <b/>
        <sz val="10"/>
        <rFont val="Arial"/>
        <family val="0"/>
      </rPr>
      <t>†</t>
    </r>
  </si>
  <si>
    <t>* n = 12 for HH and NV drivers</t>
  </si>
  <si>
    <t>†n = 12 for NV drivers. Response times could only be calculated for 11 (seeing-small) and 11 (seeing-large), 10 (blind-small) and 4 (blind-large) HH drivers.</t>
  </si>
  <si>
    <r>
      <t>D</t>
    </r>
    <r>
      <rPr>
        <b/>
        <vertAlign val="subscript"/>
        <sz val="10"/>
        <rFont val="Arial"/>
        <family val="2"/>
      </rPr>
      <t xml:space="preserve">R
</t>
    </r>
    <r>
      <rPr>
        <b/>
        <sz val="10"/>
        <rFont val="Arial"/>
        <family val="2"/>
      </rPr>
      <t>(extreme right of intersection)</t>
    </r>
  </si>
  <si>
    <r>
      <t>A</t>
    </r>
    <r>
      <rPr>
        <b/>
        <vertAlign val="subscript"/>
        <sz val="10"/>
        <rFont val="Arial"/>
        <family val="2"/>
      </rPr>
      <t xml:space="preserve">R
</t>
    </r>
    <r>
      <rPr>
        <b/>
        <sz val="10"/>
        <rFont val="Arial"/>
        <family val="2"/>
      </rPr>
      <t>(Right turn - Ped:extreme left of intersection)</t>
    </r>
  </si>
  <si>
    <r>
      <t>A</t>
    </r>
    <r>
      <rPr>
        <b/>
        <vertAlign val="subscript"/>
        <sz val="10"/>
        <rFont val="Arial"/>
        <family val="2"/>
      </rPr>
      <t xml:space="preserve">L
</t>
    </r>
    <r>
      <rPr>
        <b/>
        <sz val="10"/>
        <rFont val="Arial"/>
        <family val="2"/>
      </rPr>
      <t>(Left turn - Ped: extreme left of intersection)</t>
    </r>
  </si>
  <si>
    <t>Included or Excluded</t>
  </si>
  <si>
    <t>Exclusion reasons</t>
  </si>
  <si>
    <t>Session 
1</t>
  </si>
  <si>
    <t>Session
2</t>
  </si>
  <si>
    <t xml:space="preserve">Response time(s) </t>
  </si>
  <si>
    <t>Collapsed data not reported for HH participants</t>
  </si>
  <si>
    <t>Roadway Pedestrians
Session 1 vs Session 2</t>
  </si>
  <si>
    <t>Blind small</t>
  </si>
  <si>
    <t>Seeing small</t>
  </si>
  <si>
    <t>NV: Median proportion detected (%)</t>
  </si>
  <si>
    <t>HH: Median proportion detected (%)</t>
  </si>
  <si>
    <t>Response times:
HH</t>
  </si>
  <si>
    <t>Mean =</t>
  </si>
  <si>
    <t xml:space="preserve">Stdev = </t>
  </si>
  <si>
    <t xml:space="preserve">NV: Response time(s) </t>
  </si>
  <si>
    <t xml:space="preserve">HH: Response time(s) </t>
  </si>
  <si>
    <t>Outlier response times most likely due to hemi paresis
Counterbalance code 8</t>
  </si>
  <si>
    <t>Large eccentricity blind side: Median response time not calculated as less than three detections 
Counterbalance code 9</t>
  </si>
  <si>
    <t>Large eccentricity blind side: Median response time not calculated as less than three detections 
Counterbalance code 11</t>
  </si>
  <si>
    <t xml:space="preserve">Large eccentricity blind side: Median response time not calculated as less than three detections
Counterbalance code 6 </t>
  </si>
  <si>
    <t>Large eccentricity blind side: Median response time not calculated as less than three detections 
Counterbalance code10</t>
  </si>
  <si>
    <r>
      <t>HH</t>
    </r>
    <r>
      <rPr>
        <sz val="10"/>
        <rFont val="Arial"/>
        <family val="0"/>
      </rPr>
      <t xml:space="preserve"> driver whose performance was close to NV drivers for roadway pedestrians, but poorer for intersection pedestrians</t>
    </r>
  </si>
  <si>
    <t>HH drivers whose response times exceeded the perception-brake guideline</t>
  </si>
  <si>
    <t>Only hemianopes who have response times for both city and rural at each eccentricity/side combination are included in the means</t>
  </si>
  <si>
    <t>Excluded from blind-side means as does not have response times for both city and rural</t>
  </si>
  <si>
    <t>Excluded from all means due to outlier response time values</t>
  </si>
  <si>
    <t>HH = Homonymous hemianopia</t>
  </si>
  <si>
    <t xml:space="preserve">Table A.1  City vs Rural </t>
  </si>
  <si>
    <t>Figure 7</t>
  </si>
  <si>
    <t>HH
Seeing side
Small eccentricity</t>
  </si>
  <si>
    <t>HH
Seeing side
Large eccentricity</t>
  </si>
  <si>
    <t>HH
Blind side
Small eccentricity</t>
  </si>
  <si>
    <t>HH
Blind side
Large eccentricity</t>
  </si>
  <si>
    <t>I-Pedestrian detections - data pooled across two sessions</t>
  </si>
  <si>
    <r>
      <t xml:space="preserve">The </t>
    </r>
    <r>
      <rPr>
        <b/>
        <sz val="10"/>
        <rFont val="Arial"/>
        <family val="2"/>
      </rPr>
      <t>'</t>
    </r>
    <r>
      <rPr>
        <b/>
        <i/>
        <sz val="10"/>
        <rFont val="Arial"/>
        <family val="2"/>
      </rPr>
      <t>Demog &amp; vision</t>
    </r>
    <r>
      <rPr>
        <b/>
        <sz val="10"/>
        <rFont val="Arial"/>
        <family val="2"/>
      </rPr>
      <t>'</t>
    </r>
    <r>
      <rPr>
        <sz val="10"/>
        <rFont val="Arial"/>
        <family val="0"/>
      </rPr>
      <t xml:space="preserve"> worksheet contains subject data: demographics, visual and driving information</t>
    </r>
  </si>
  <si>
    <r>
      <t>NA</t>
    </r>
    <r>
      <rPr>
        <sz val="10"/>
        <rFont val="Arial"/>
        <family val="0"/>
      </rPr>
      <t xml:space="preserve"> = not applicable</t>
    </r>
  </si>
  <si>
    <t xml:space="preserve">Investigative Ophthalmology and Visual Science </t>
  </si>
  <si>
    <t>First published on July 15, 2009 as doi:10.1167/iovs.09-3</t>
  </si>
  <si>
    <t>Matched to excluded HH with counterbalance code  8</t>
  </si>
  <si>
    <t>Matched to excluded HH with counterbalance code 9</t>
  </si>
  <si>
    <t>Matched to excluded HH with counterbalance code 11</t>
  </si>
  <si>
    <t>Matched to excluded HH with counterbalance code 6</t>
  </si>
  <si>
    <t>Matched to excluded HH with counterbalance code 10</t>
  </si>
  <si>
    <t>Subset included in response time ANOVA</t>
  </si>
  <si>
    <r>
      <t xml:space="preserve">Figure 1: </t>
    </r>
    <r>
      <rPr>
        <sz val="11"/>
        <rFont val="Arial"/>
        <family val="2"/>
      </rPr>
      <t xml:space="preserve">Schematic showing the four locations at which an R-Ped might appear with respect to the driver in a city drive. </t>
    </r>
  </si>
  <si>
    <r>
      <t>Figure 2:</t>
    </r>
    <r>
      <rPr>
        <sz val="11"/>
        <color indexed="8"/>
        <rFont val="Arial"/>
        <family val="2"/>
      </rPr>
      <t xml:space="preserve"> </t>
    </r>
    <r>
      <rPr>
        <sz val="11"/>
        <rFont val="Arial"/>
        <family val="2"/>
      </rPr>
      <t>Intersection pedestrian (I-Ped) placements (A – D) to assess the effect of HH on detection of potential hazards for a right (</t>
    </r>
    <r>
      <rPr>
        <vertAlign val="subscript"/>
        <sz val="11"/>
        <rFont val="Arial"/>
        <family val="2"/>
      </rPr>
      <t>R</t>
    </r>
    <r>
      <rPr>
        <sz val="11"/>
        <rFont val="Arial"/>
        <family val="2"/>
      </rPr>
      <t>)</t>
    </r>
    <r>
      <rPr>
        <vertAlign val="subscript"/>
        <sz val="11"/>
        <rFont val="Arial"/>
        <family val="2"/>
      </rPr>
      <t xml:space="preserve"> </t>
    </r>
    <r>
      <rPr>
        <sz val="11"/>
        <rFont val="Arial"/>
        <family val="2"/>
      </rPr>
      <t>or left turn (</t>
    </r>
    <r>
      <rPr>
        <vertAlign val="subscript"/>
        <sz val="11"/>
        <rFont val="Arial"/>
        <family val="2"/>
      </rPr>
      <t>L</t>
    </r>
    <r>
      <rPr>
        <sz val="11"/>
        <rFont val="Arial"/>
        <family val="2"/>
      </rPr>
      <t xml:space="preserve">). </t>
    </r>
  </si>
  <si>
    <t xml:space="preserve">Objects in the direction of A and D could be a hazard for a right-turning vehicle.  Objects at or near A, C and B could be a hazard for a left-turning vehicle. </t>
  </si>
  <si>
    <t>The thick black lines are the sides of the recommended clear sight triangle for a stop-controlled intersection at a 30mph cross street.</t>
  </si>
  <si>
    <t xml:space="preserve">The driver would have to scan almost 90° to the left and right in order to view the whole area within the sight triangle. Schematic is approximately to scale. </t>
  </si>
  <si>
    <t>Median response time(s) City only; data pooled across 2 sessions*</t>
  </si>
  <si>
    <t>Intersection Pedestrians         (I-Ped)</t>
  </si>
  <si>
    <t>Speed (mph) - City</t>
  </si>
  <si>
    <t>Speed (mph) - Rural</t>
  </si>
  <si>
    <r>
      <t xml:space="preserve">The </t>
    </r>
    <r>
      <rPr>
        <b/>
        <sz val="10"/>
        <rFont val="Arial"/>
        <family val="2"/>
      </rPr>
      <t>'R-Ped Main analyses'</t>
    </r>
    <r>
      <rPr>
        <sz val="10"/>
        <rFont val="Arial"/>
        <family val="0"/>
      </rPr>
      <t xml:space="preserve"> worksheet contains the proportion of roadway pedestrians detected at small and large eccentricities on both seeing and blind sides under combined city and rural conditions. </t>
    </r>
  </si>
  <si>
    <r>
      <t xml:space="preserve">The </t>
    </r>
    <r>
      <rPr>
        <b/>
        <sz val="10"/>
        <rFont val="Arial"/>
        <family val="2"/>
      </rPr>
      <t>'</t>
    </r>
    <r>
      <rPr>
        <b/>
        <i/>
        <sz val="10"/>
        <rFont val="Arial"/>
        <family val="2"/>
      </rPr>
      <t>I-Ped</t>
    </r>
    <r>
      <rPr>
        <b/>
        <sz val="10"/>
        <rFont val="Arial"/>
        <family val="2"/>
      </rPr>
      <t>'</t>
    </r>
    <r>
      <rPr>
        <sz val="10"/>
        <rFont val="Arial"/>
        <family val="0"/>
      </rPr>
      <t xml:space="preserve"> worksheet contains the number of intersection pedestrians detected while making left and right turns. </t>
    </r>
  </si>
  <si>
    <r>
      <t xml:space="preserve">The </t>
    </r>
    <r>
      <rPr>
        <b/>
        <sz val="10"/>
        <rFont val="Arial"/>
        <family val="2"/>
      </rPr>
      <t>'</t>
    </r>
    <r>
      <rPr>
        <b/>
        <i/>
        <sz val="10"/>
        <rFont val="Arial"/>
        <family val="2"/>
      </rPr>
      <t>R-Ped City vs Rural</t>
    </r>
    <r>
      <rPr>
        <b/>
        <sz val="10"/>
        <rFont val="Arial"/>
        <family val="2"/>
      </rPr>
      <t>'</t>
    </r>
    <r>
      <rPr>
        <sz val="10"/>
        <rFont val="Arial"/>
        <family val="0"/>
      </rPr>
      <t xml:space="preserve"> worksheet contains  the proportion of roadway pedestrians detected and response times for small and large eccentricities on both seeing and blind sides under city and rural conditions. </t>
    </r>
  </si>
  <si>
    <r>
      <t xml:space="preserve">The </t>
    </r>
    <r>
      <rPr>
        <b/>
        <sz val="10"/>
        <rFont val="Arial"/>
        <family val="2"/>
      </rPr>
      <t>'</t>
    </r>
    <r>
      <rPr>
        <b/>
        <i/>
        <sz val="10"/>
        <rFont val="Arial"/>
        <family val="2"/>
      </rPr>
      <t>Other drive measures</t>
    </r>
    <r>
      <rPr>
        <b/>
        <sz val="10"/>
        <rFont val="Arial"/>
        <family val="2"/>
      </rPr>
      <t>'</t>
    </r>
    <r>
      <rPr>
        <sz val="10"/>
        <rFont val="Arial"/>
        <family val="0"/>
      </rPr>
      <t xml:space="preserve"> worksheet contains data on driving speeds, both city and rural. There is also data on  crashes, failure to stop and false honks. </t>
    </r>
  </si>
  <si>
    <r>
      <t xml:space="preserve">The </t>
    </r>
    <r>
      <rPr>
        <b/>
        <sz val="10"/>
        <rFont val="Arial"/>
        <family val="2"/>
      </rPr>
      <t>'R-Ped Session 1 vs Session 2'</t>
    </r>
    <r>
      <rPr>
        <sz val="10"/>
        <rFont val="Arial"/>
        <family val="0"/>
      </rPr>
      <t xml:space="preserve"> worksheet contains the proportion of roadway pedestrians detected and response times for both small and large eccentricities on the blind and seeing sides for sessions 1 and 2. </t>
    </r>
  </si>
  <si>
    <t xml:space="preserve">3 simulator sessions </t>
  </si>
  <si>
    <t>Wore peripheral prism glasses when walking*</t>
  </si>
  <si>
    <t>Left hemiparesis Wore peripheral prism glasses when walking*</t>
  </si>
  <si>
    <t>* Note: the two HH participants who wore the peripheral prism glasses when walking, did not wear them during the simulator assessments</t>
  </si>
  <si>
    <t>Table 1:  Characteristics of all participants and sub-set for response time ANOVA</t>
  </si>
  <si>
    <t>Normal Vision - all</t>
  </si>
  <si>
    <t>HH  - all</t>
  </si>
  <si>
    <t>Normal Vision - subset (7)</t>
  </si>
  <si>
    <t>HH - subset (7)</t>
  </si>
  <si>
    <t>Table 2:
Summary Data</t>
  </si>
  <si>
    <t>Visual Acuity - Snellen
(Binocular - 20/nn)</t>
  </si>
  <si>
    <t>HH  - not in response time ANOVA (n = 5)</t>
  </si>
  <si>
    <t>HH  - response time ANOVA subset (n = 7)</t>
  </si>
  <si>
    <t xml:space="preserve">Median </t>
  </si>
  <si>
    <t xml:space="preserve">Minimum </t>
  </si>
  <si>
    <t xml:space="preserve">Maximum </t>
  </si>
  <si>
    <r>
      <t>Driving with hemianopia: 1. Detection performance in a simulator</t>
    </r>
    <r>
      <rPr>
        <sz val="10"/>
        <rFont val="Arial"/>
        <family val="0"/>
      </rPr>
      <t xml:space="preserve">
Alex R. Bowers , Aaron J. Mandel , Robert Goldstein, Eli Peli </t>
    </r>
  </si>
  <si>
    <t>In print: Invest. Ophthalmol. Vis. Sci. 50; 5137-5147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</si>
</sst>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%"/>
    <numFmt numFmtId="177" formatCode="0.0000%"/>
    <numFmt numFmtId="178" formatCode="0.0%"/>
    <numFmt numFmtId="179" formatCode="0.00000000"/>
    <numFmt numFmtId="180" formatCode="#,##0.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ahoma"/>
      <family val="0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vertAlign val="subscript"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8"/>
      </right>
      <top/>
      <bottom/>
    </border>
    <border>
      <left/>
      <right style="medium"/>
      <top/>
      <bottom/>
    </border>
    <border>
      <left>
        <color indexed="63"/>
      </left>
      <right style="medium"/>
      <top/>
      <bottom/>
    </border>
    <border>
      <left/>
      <right>
        <color indexed="8"/>
      </right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/>
    </border>
    <border>
      <left style="medium"/>
      <right>
        <color indexed="8"/>
      </right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/>
    </border>
    <border>
      <left style="medium"/>
      <right>
        <color indexed="8"/>
      </right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/>
    </border>
    <border>
      <left/>
      <right>
        <color indexed="8"/>
      </right>
      <top/>
      <bottom style="thin"/>
    </border>
    <border>
      <left/>
      <right style="medium"/>
      <top/>
      <bottom style="thin"/>
    </border>
    <border>
      <left>
        <color indexed="63"/>
      </left>
      <right>
        <color indexed="8"/>
      </right>
      <top/>
      <bottom style="thin"/>
    </border>
    <border>
      <left>
        <color indexed="8"/>
      </left>
      <right>
        <color indexed="8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thin"/>
      <right/>
      <top/>
      <bottom/>
    </border>
    <border>
      <left style="thin"/>
      <right>
        <color indexed="8"/>
      </right>
      <top>
        <color indexed="63"/>
      </top>
      <bottom/>
    </border>
    <border>
      <left style="thin"/>
      <right>
        <color indexed="8"/>
      </right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/>
    </border>
    <border>
      <left style="medium"/>
      <right>
        <color indexed="63"/>
      </right>
      <top>
        <color indexed="63"/>
      </top>
      <bottom/>
    </border>
    <border>
      <left style="thin"/>
      <right/>
      <top>
        <color indexed="63"/>
      </top>
      <bottom/>
    </border>
    <border>
      <left style="medium"/>
      <right>
        <color indexed="63"/>
      </right>
      <top/>
      <bottom style="thin"/>
    </border>
    <border>
      <left style="thin"/>
      <right/>
      <top/>
      <bottom>
        <color indexed="63"/>
      </bottom>
    </border>
    <border>
      <left style="thin"/>
      <right>
        <color indexed="8"/>
      </right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medium"/>
      <right>
        <color indexed="8"/>
      </right>
      <top>
        <color indexed="63"/>
      </top>
      <bottom/>
    </border>
    <border>
      <left style="medium"/>
      <right>
        <color indexed="63"/>
      </right>
      <top style="thin"/>
      <bottom style="thin"/>
    </border>
    <border>
      <left>
        <color indexed="8"/>
      </left>
      <right style="medium"/>
      <top>
        <color indexed="63"/>
      </top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>
        <color indexed="63"/>
      </right>
      <top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8"/>
      </right>
      <top style="thin"/>
      <bottom style="thin"/>
    </border>
    <border>
      <left/>
      <right>
        <color indexed="8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8"/>
      </right>
      <top/>
      <bottom style="medium"/>
    </border>
    <border>
      <left/>
      <right>
        <color indexed="63"/>
      </right>
      <top/>
      <bottom style="medium"/>
    </border>
    <border>
      <left style="mediumDashed"/>
      <right>
        <color indexed="8"/>
      </right>
      <top style="mediumDashed"/>
      <bottom style="mediumDashed"/>
    </border>
    <border>
      <left style="thin"/>
      <right>
        <color indexed="8"/>
      </right>
      <top/>
      <bottom style="medium"/>
    </border>
    <border>
      <left/>
      <right style="thin"/>
      <top/>
      <bottom/>
    </border>
    <border>
      <left style="thin"/>
      <right>
        <color indexed="8"/>
      </right>
      <top style="thin"/>
      <bottom>
        <color indexed="63"/>
      </bottom>
    </border>
    <border>
      <left/>
      <right>
        <color indexed="8"/>
      </right>
      <top style="thin"/>
      <bottom>
        <color indexed="63"/>
      </bottom>
    </border>
    <border>
      <left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>
        <color indexed="63"/>
      </top>
      <bottom/>
    </border>
    <border>
      <left/>
      <right style="medium"/>
      <top style="thin"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/>
      <bottom style="medium"/>
    </border>
    <border>
      <left/>
      <right>
        <color indexed="8"/>
      </right>
      <top style="medium"/>
      <bottom/>
    </border>
    <border>
      <left/>
      <right style="medium"/>
      <top style="medium"/>
      <bottom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 style="medium"/>
      <top/>
      <bottom/>
    </border>
    <border>
      <left>
        <color indexed="8"/>
      </left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8"/>
      </right>
      <top style="medium"/>
      <bottom style="medium"/>
    </border>
    <border>
      <left>
        <color indexed="63"/>
      </left>
      <right>
        <color indexed="8"/>
      </right>
      <top style="medium"/>
      <bottom/>
    </border>
    <border>
      <left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 style="thin"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8"/>
      </right>
      <top style="thin"/>
      <bottom/>
    </border>
    <border>
      <left style="mediumDashed"/>
      <right/>
      <top style="mediumDashed"/>
      <bottom style="mediumDashed"/>
    </border>
    <border>
      <left/>
      <right style="mediumDashed"/>
      <top style="mediumDashed"/>
      <bottom style="mediumDashed"/>
    </border>
    <border>
      <left style="mediumDashed"/>
      <right style="mediumDashed"/>
      <top style="mediumDashed"/>
      <bottom style="medium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medium"/>
      <right>
        <color indexed="8"/>
      </right>
      <top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8"/>
      </right>
      <top style="medium"/>
      <bottom>
        <color indexed="63"/>
      </bottom>
    </border>
    <border>
      <left style="medium"/>
      <right/>
      <top style="thin"/>
      <bottom style="medium"/>
    </border>
    <border>
      <left style="medium"/>
      <right>
        <color indexed="8"/>
      </right>
      <top>
        <color indexed="63"/>
      </top>
      <bottom style="medium"/>
    </border>
    <border>
      <left/>
      <right>
        <color indexed="8"/>
      </right>
      <top>
        <color indexed="63"/>
      </top>
      <bottom style="medium"/>
    </border>
    <border>
      <left style="medium"/>
      <right>
        <color indexed="8"/>
      </right>
      <top/>
      <bottom style="thin"/>
    </border>
    <border>
      <left style="medium"/>
      <right>
        <color indexed="8"/>
      </right>
      <top style="medium"/>
      <bottom style="thin"/>
    </border>
    <border>
      <left/>
      <right>
        <color indexed="8"/>
      </right>
      <top style="medium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>
        <color indexed="63"/>
      </top>
      <bottom style="medium"/>
    </border>
    <border>
      <left/>
      <right style="thin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/>
      <bottom style="thin"/>
    </border>
    <border>
      <left/>
      <right>
        <color indexed="8"/>
      </right>
      <top style="mediumDashed"/>
      <bottom style="mediumDashed"/>
    </border>
    <border>
      <left style="medium"/>
      <right style="medium"/>
      <top>
        <color indexed="63"/>
      </top>
      <bottom/>
    </border>
    <border>
      <left style="medium"/>
      <right style="medium"/>
      <top/>
      <bottom>
        <color indexed="63"/>
      </bottom>
    </border>
    <border>
      <left>
        <color indexed="8"/>
      </left>
      <right style="medium"/>
      <top style="thin"/>
      <bottom/>
    </border>
    <border>
      <left>
        <color indexed="8"/>
      </left>
      <right style="medium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8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/>
      <top style="medium"/>
      <bottom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46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0" fillId="0" borderId="0" xfId="0" applyAlignment="1">
      <alignment/>
    </xf>
    <xf numFmtId="3" fontId="0" fillId="0" borderId="0" xfId="0" applyAlignment="1">
      <alignment/>
    </xf>
    <xf numFmtId="4" fontId="0" fillId="0" borderId="0" xfId="0" applyAlignment="1">
      <alignment/>
    </xf>
    <xf numFmtId="4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" fontId="2" fillId="0" borderId="0" xfId="0" applyFont="1" applyAlignment="1">
      <alignment horizontal="center" vertical="center" wrapText="1"/>
    </xf>
    <xf numFmtId="3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Alignment="1">
      <alignment horizontal="center"/>
    </xf>
    <xf numFmtId="3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3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4" fontId="0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0" xfId="0" applyFont="1" applyBorder="1" applyAlignment="1">
      <alignment horizontal="center" vertical="center" wrapText="1"/>
    </xf>
    <xf numFmtId="4" fontId="2" fillId="3" borderId="14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4" fontId="0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4" fontId="0" fillId="0" borderId="12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4" fontId="0" fillId="0" borderId="18" xfId="0" applyBorder="1" applyAlignment="1">
      <alignment horizontal="center"/>
    </xf>
    <xf numFmtId="4" fontId="0" fillId="6" borderId="9" xfId="0" applyFont="1" applyFill="1" applyBorder="1" applyAlignment="1">
      <alignment horizontal="center"/>
    </xf>
    <xf numFmtId="3" fontId="0" fillId="0" borderId="24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4" fontId="0" fillId="0" borderId="25" xfId="0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3" fontId="0" fillId="0" borderId="0" xfId="0" applyFont="1" applyFill="1" applyBorder="1" applyAlignment="1">
      <alignment horizontal="center"/>
    </xf>
    <xf numFmtId="4" fontId="0" fillId="0" borderId="24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4" fontId="0" fillId="0" borderId="26" xfId="0" applyFill="1" applyBorder="1" applyAlignment="1">
      <alignment horizontal="center"/>
    </xf>
    <xf numFmtId="4" fontId="0" fillId="6" borderId="29" xfId="0" applyFont="1" applyFill="1" applyBorder="1" applyAlignment="1">
      <alignment horizontal="center"/>
    </xf>
    <xf numFmtId="3" fontId="0" fillId="0" borderId="3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4" fontId="0" fillId="0" borderId="3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" fontId="0" fillId="6" borderId="31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3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0" xfId="0" applyFont="1" applyBorder="1" applyAlignment="1">
      <alignment horizontal="center" vertical="center" wrapText="1"/>
    </xf>
    <xf numFmtId="4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2" fillId="0" borderId="0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3" fontId="0" fillId="0" borderId="32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Font="1" applyFill="1" applyBorder="1" applyAlignment="1">
      <alignment horizontal="center"/>
    </xf>
    <xf numFmtId="4" fontId="0" fillId="0" borderId="32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4" fontId="0" fillId="0" borderId="33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164" fontId="0" fillId="0" borderId="12" xfId="0" applyNumberFormat="1" applyBorder="1" applyAlignment="1">
      <alignment horizontal="center"/>
    </xf>
    <xf numFmtId="4" fontId="2" fillId="3" borderId="36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6" borderId="24" xfId="0" applyFill="1" applyBorder="1" applyAlignment="1">
      <alignment horizontal="center"/>
    </xf>
    <xf numFmtId="4" fontId="0" fillId="6" borderId="38" xfId="0" applyFill="1" applyBorder="1" applyAlignment="1">
      <alignment horizontal="center"/>
    </xf>
    <xf numFmtId="4" fontId="0" fillId="6" borderId="39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Border="1" applyAlignment="1">
      <alignment horizontal="center"/>
    </xf>
    <xf numFmtId="4" fontId="0" fillId="0" borderId="0" xfId="0" applyBorder="1" applyAlignment="1">
      <alignment horizontal="center"/>
    </xf>
    <xf numFmtId="4" fontId="0" fillId="6" borderId="0" xfId="0" applyFill="1" applyBorder="1" applyAlignment="1">
      <alignment horizontal="center"/>
    </xf>
    <xf numFmtId="4" fontId="0" fillId="6" borderId="5" xfId="0" applyFill="1" applyBorder="1" applyAlignment="1">
      <alignment horizontal="center"/>
    </xf>
    <xf numFmtId="4" fontId="0" fillId="0" borderId="0" xfId="0" applyFill="1" applyBorder="1" applyAlignment="1">
      <alignment horizontal="center"/>
    </xf>
    <xf numFmtId="4" fontId="0" fillId="0" borderId="5" xfId="0" applyFill="1" applyBorder="1" applyAlignment="1">
      <alignment horizontal="center"/>
    </xf>
    <xf numFmtId="4" fontId="0" fillId="6" borderId="40" xfId="0" applyFill="1" applyBorder="1" applyAlignment="1">
      <alignment horizontal="center"/>
    </xf>
    <xf numFmtId="4" fontId="0" fillId="6" borderId="7" xfId="0" applyFill="1" applyBorder="1" applyAlignment="1">
      <alignment horizontal="center"/>
    </xf>
    <xf numFmtId="4" fontId="0" fillId="6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3" fontId="0" fillId="0" borderId="0" xfId="0" applyBorder="1" applyAlignment="1">
      <alignment horizontal="center"/>
    </xf>
    <xf numFmtId="4" fontId="0" fillId="0" borderId="0" xfId="0" applyBorder="1" applyAlignment="1">
      <alignment horizontal="center"/>
    </xf>
    <xf numFmtId="4" fontId="0" fillId="0" borderId="42" xfId="0" applyBorder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41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5" borderId="4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right"/>
    </xf>
    <xf numFmtId="0" fontId="2" fillId="7" borderId="44" xfId="0" applyFont="1" applyFill="1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0" xfId="0" applyBorder="1" applyAlignment="1">
      <alignment horizontal="center"/>
    </xf>
    <xf numFmtId="4" fontId="0" fillId="0" borderId="0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0" xfId="0" applyFont="1" applyFill="1" applyBorder="1" applyAlignment="1">
      <alignment horizontal="left"/>
    </xf>
    <xf numFmtId="4" fontId="0" fillId="0" borderId="0" xfId="0" applyFill="1" applyBorder="1" applyAlignment="1">
      <alignment horizontal="center"/>
    </xf>
    <xf numFmtId="3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6" borderId="0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3" fontId="0" fillId="6" borderId="53" xfId="0" applyFill="1" applyBorder="1" applyAlignment="1">
      <alignment horizontal="center"/>
    </xf>
    <xf numFmtId="3" fontId="0" fillId="6" borderId="0" xfId="0" applyFill="1" applyBorder="1" applyAlignment="1">
      <alignment horizontal="center"/>
    </xf>
    <xf numFmtId="3" fontId="0" fillId="6" borderId="0" xfId="0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3" fontId="0" fillId="6" borderId="7" xfId="0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55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56" xfId="0" applyFont="1" applyBorder="1" applyAlignment="1">
      <alignment horizontal="center"/>
    </xf>
    <xf numFmtId="3" fontId="0" fillId="0" borderId="57" xfId="0" applyBorder="1" applyAlignment="1">
      <alignment horizontal="center"/>
    </xf>
    <xf numFmtId="4" fontId="0" fillId="0" borderId="57" xfId="0" applyFon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0" xfId="0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0" xfId="0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58" xfId="0" applyBorder="1" applyAlignment="1">
      <alignment horizontal="center"/>
    </xf>
    <xf numFmtId="0" fontId="2" fillId="7" borderId="59" xfId="0" applyFont="1" applyFill="1" applyBorder="1" applyAlignment="1">
      <alignment horizontal="right"/>
    </xf>
    <xf numFmtId="3" fontId="0" fillId="0" borderId="5" xfId="0" applyNumberFormat="1" applyBorder="1" applyAlignment="1">
      <alignment horizontal="center"/>
    </xf>
    <xf numFmtId="0" fontId="2" fillId="7" borderId="60" xfId="0" applyFont="1" applyFill="1" applyBorder="1" applyAlignment="1">
      <alignment/>
    </xf>
    <xf numFmtId="3" fontId="0" fillId="0" borderId="54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0" fontId="2" fillId="7" borderId="62" xfId="0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63" xfId="0" applyBorder="1" applyAlignment="1">
      <alignment horizontal="center"/>
    </xf>
    <xf numFmtId="3" fontId="0" fillId="0" borderId="64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2" xfId="0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52" xfId="0" applyBorder="1" applyAlignment="1">
      <alignment horizontal="center"/>
    </xf>
    <xf numFmtId="3" fontId="0" fillId="0" borderId="61" xfId="0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2" fillId="7" borderId="0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7" borderId="66" xfId="0" applyFont="1" applyFill="1" applyBorder="1" applyAlignment="1">
      <alignment horizontal="left"/>
    </xf>
    <xf numFmtId="0" fontId="0" fillId="7" borderId="66" xfId="0" applyFill="1" applyBorder="1" applyAlignment="1">
      <alignment horizontal="center"/>
    </xf>
    <xf numFmtId="0" fontId="0" fillId="7" borderId="67" xfId="0" applyFill="1" applyBorder="1" applyAlignment="1">
      <alignment horizontal="center"/>
    </xf>
    <xf numFmtId="4" fontId="2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0" fontId="0" fillId="0" borderId="32" xfId="0" applyBorder="1" applyAlignment="1">
      <alignment horizontal="center"/>
    </xf>
    <xf numFmtId="0" fontId="2" fillId="2" borderId="47" xfId="0" applyFont="1" applyFill="1" applyBorder="1" applyAlignment="1">
      <alignment horizontal="center" vertical="center" wrapText="1"/>
    </xf>
    <xf numFmtId="3" fontId="2" fillId="8" borderId="1" xfId="0" applyFont="1" applyFill="1" applyBorder="1" applyAlignment="1">
      <alignment horizontal="center" vertical="center"/>
    </xf>
    <xf numFmtId="4" fontId="2" fillId="8" borderId="1" xfId="0" applyFont="1" applyFill="1" applyBorder="1" applyAlignment="1">
      <alignment horizontal="center" vertical="center"/>
    </xf>
    <xf numFmtId="3" fontId="2" fillId="5" borderId="1" xfId="0" applyFont="1" applyFill="1" applyBorder="1" applyAlignment="1">
      <alignment horizontal="center" vertical="center"/>
    </xf>
    <xf numFmtId="4" fontId="2" fillId="5" borderId="1" xfId="0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3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Border="1" applyAlignment="1">
      <alignment horizontal="center"/>
    </xf>
    <xf numFmtId="4" fontId="0" fillId="0" borderId="0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6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47" xfId="0" applyFill="1" applyBorder="1" applyAlignment="1">
      <alignment/>
    </xf>
    <xf numFmtId="0" fontId="0" fillId="3" borderId="69" xfId="0" applyFill="1" applyBorder="1" applyAlignment="1">
      <alignment horizontal="center"/>
    </xf>
    <xf numFmtId="0" fontId="0" fillId="3" borderId="49" xfId="0" applyFill="1" applyBorder="1" applyAlignment="1">
      <alignment/>
    </xf>
    <xf numFmtId="0" fontId="0" fillId="3" borderId="50" xfId="0" applyFill="1" applyBorder="1" applyAlignment="1">
      <alignment/>
    </xf>
    <xf numFmtId="3" fontId="2" fillId="5" borderId="43" xfId="0" applyNumberFormat="1" applyFont="1" applyFill="1" applyBorder="1" applyAlignment="1">
      <alignment horizontal="center" vertical="center"/>
    </xf>
    <xf numFmtId="4" fontId="0" fillId="0" borderId="70" xfId="0" applyBorder="1" applyAlignment="1">
      <alignment horizontal="center"/>
    </xf>
    <xf numFmtId="0" fontId="0" fillId="3" borderId="36" xfId="0" applyFill="1" applyBorder="1" applyAlignment="1">
      <alignment/>
    </xf>
    <xf numFmtId="4" fontId="0" fillId="0" borderId="5" xfId="0" applyBorder="1" applyAlignment="1">
      <alignment horizontal="center"/>
    </xf>
    <xf numFmtId="4" fontId="0" fillId="0" borderId="64" xfId="0" applyBorder="1" applyAlignment="1">
      <alignment horizontal="center"/>
    </xf>
    <xf numFmtId="0" fontId="0" fillId="3" borderId="36" xfId="0" applyFill="1" applyBorder="1" applyAlignment="1">
      <alignment horizontal="center"/>
    </xf>
    <xf numFmtId="4" fontId="0" fillId="10" borderId="0" xfId="0" applyFill="1" applyBorder="1" applyAlignment="1">
      <alignment horizontal="center"/>
    </xf>
    <xf numFmtId="4" fontId="0" fillId="9" borderId="0" xfId="0" applyFill="1" applyBorder="1" applyAlignment="1">
      <alignment horizontal="center"/>
    </xf>
    <xf numFmtId="3" fontId="0" fillId="0" borderId="7" xfId="0" applyBorder="1" applyAlignment="1">
      <alignment horizontal="center"/>
    </xf>
    <xf numFmtId="4" fontId="0" fillId="0" borderId="7" xfId="0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4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7" borderId="66" xfId="0" applyFont="1" applyFill="1" applyBorder="1" applyAlignment="1">
      <alignment/>
    </xf>
    <xf numFmtId="3" fontId="0" fillId="0" borderId="66" xfId="0" applyNumberForma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7" xfId="0" applyFont="1" applyFill="1" applyBorder="1" applyAlignment="1">
      <alignment/>
    </xf>
    <xf numFmtId="3" fontId="2" fillId="5" borderId="71" xfId="0" applyFont="1" applyFill="1" applyBorder="1" applyAlignment="1">
      <alignment horizontal="center" vertical="center"/>
    </xf>
    <xf numFmtId="3" fontId="2" fillId="8" borderId="4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Border="1" applyAlignment="1">
      <alignment horizontal="center"/>
    </xf>
    <xf numFmtId="4" fontId="0" fillId="0" borderId="0" xfId="0" applyBorder="1" applyAlignment="1">
      <alignment horizontal="center"/>
    </xf>
    <xf numFmtId="4" fontId="0" fillId="0" borderId="72" xfId="0" applyBorder="1" applyAlignment="1">
      <alignment horizontal="center"/>
    </xf>
    <xf numFmtId="4" fontId="0" fillId="10" borderId="0" xfId="0" applyFill="1" applyBorder="1" applyAlignment="1">
      <alignment horizontal="center"/>
    </xf>
    <xf numFmtId="4" fontId="0" fillId="9" borderId="0" xfId="0" applyFill="1" applyBorder="1" applyAlignment="1">
      <alignment horizontal="center"/>
    </xf>
    <xf numFmtId="4" fontId="0" fillId="0" borderId="51" xfId="0" applyBorder="1" applyAlignment="1">
      <alignment horizontal="center"/>
    </xf>
    <xf numFmtId="4" fontId="0" fillId="0" borderId="73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3" fontId="2" fillId="0" borderId="75" xfId="0" applyNumberFormat="1" applyFont="1" applyFill="1" applyBorder="1" applyAlignment="1">
      <alignment horizontal="center" vertical="center"/>
    </xf>
    <xf numFmtId="4" fontId="0" fillId="0" borderId="76" xfId="0" applyBorder="1" applyAlignment="1">
      <alignment horizontal="center"/>
    </xf>
    <xf numFmtId="4" fontId="0" fillId="0" borderId="77" xfId="0" applyBorder="1" applyAlignment="1">
      <alignment horizontal="center"/>
    </xf>
    <xf numFmtId="0" fontId="2" fillId="7" borderId="78" xfId="0" applyFont="1" applyFill="1" applyBorder="1" applyAlignment="1">
      <alignment/>
    </xf>
    <xf numFmtId="0" fontId="2" fillId="7" borderId="79" xfId="0" applyFont="1" applyFill="1" applyBorder="1" applyAlignment="1">
      <alignment horizontal="center"/>
    </xf>
    <xf numFmtId="0" fontId="0" fillId="7" borderId="80" xfId="0" applyFill="1" applyBorder="1" applyAlignment="1">
      <alignment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2" fillId="7" borderId="81" xfId="0" applyFont="1" applyFill="1" applyBorder="1" applyAlignment="1">
      <alignment horizontal="left"/>
    </xf>
    <xf numFmtId="0" fontId="0" fillId="7" borderId="82" xfId="0" applyFill="1" applyBorder="1" applyAlignment="1">
      <alignment horizontal="center"/>
    </xf>
    <xf numFmtId="0" fontId="2" fillId="7" borderId="10" xfId="0" applyFont="1" applyFill="1" applyBorder="1" applyAlignment="1">
      <alignment horizontal="left"/>
    </xf>
    <xf numFmtId="0" fontId="0" fillId="7" borderId="83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7" borderId="13" xfId="0" applyFont="1" applyFill="1" applyBorder="1" applyAlignment="1">
      <alignment/>
    </xf>
    <xf numFmtId="0" fontId="0" fillId="7" borderId="4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84" xfId="0" applyBorder="1" applyAlignment="1">
      <alignment horizontal="center"/>
    </xf>
    <xf numFmtId="2" fontId="0" fillId="0" borderId="83" xfId="0" applyNumberFormat="1" applyBorder="1" applyAlignment="1">
      <alignment horizontal="center"/>
    </xf>
    <xf numFmtId="0" fontId="0" fillId="0" borderId="85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" fillId="6" borderId="43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0" fontId="0" fillId="0" borderId="86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2" fillId="7" borderId="66" xfId="0" applyFont="1" applyFill="1" applyBorder="1" applyAlignment="1">
      <alignment horizontal="center" vertical="center"/>
    </xf>
    <xf numFmtId="0" fontId="2" fillId="7" borderId="67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/>
    </xf>
    <xf numFmtId="3" fontId="2" fillId="7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10" borderId="4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89" xfId="0" applyBorder="1" applyAlignment="1">
      <alignment horizontal="center"/>
    </xf>
    <xf numFmtId="4" fontId="0" fillId="0" borderId="7" xfId="0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3" borderId="90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9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2" fillId="0" borderId="0" xfId="0" applyFont="1" applyFill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7" borderId="93" xfId="0" applyFont="1" applyFill="1" applyBorder="1" applyAlignment="1">
      <alignment horizontal="right" vertical="center"/>
    </xf>
    <xf numFmtId="2" fontId="0" fillId="0" borderId="66" xfId="0" applyNumberFormat="1" applyBorder="1" applyAlignment="1">
      <alignment horizontal="center" vertical="center"/>
    </xf>
    <xf numFmtId="2" fontId="0" fillId="0" borderId="67" xfId="0" applyNumberFormat="1" applyBorder="1" applyAlignment="1">
      <alignment horizontal="center" vertical="center"/>
    </xf>
    <xf numFmtId="0" fontId="2" fillId="7" borderId="44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94" xfId="0" applyNumberFormat="1" applyBorder="1" applyAlignment="1">
      <alignment horizontal="center" vertical="center" wrapText="1"/>
    </xf>
    <xf numFmtId="2" fontId="0" fillId="0" borderId="39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0" fontId="2" fillId="6" borderId="95" xfId="0" applyFon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175" fontId="0" fillId="0" borderId="24" xfId="0" applyNumberFormat="1" applyFill="1" applyBorder="1" applyAlignment="1">
      <alignment horizontal="center" vertical="center" wrapText="1"/>
    </xf>
    <xf numFmtId="2" fontId="0" fillId="0" borderId="40" xfId="0" applyNumberForma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92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96" xfId="0" applyNumberFormat="1" applyBorder="1" applyAlignment="1">
      <alignment horizontal="center" vertical="center"/>
    </xf>
    <xf numFmtId="3" fontId="0" fillId="0" borderId="97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98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4" fontId="0" fillId="0" borderId="96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99" xfId="0" applyNumberFormat="1" applyBorder="1" applyAlignment="1">
      <alignment horizontal="center"/>
    </xf>
    <xf numFmtId="3" fontId="0" fillId="0" borderId="100" xfId="0" applyNumberFormat="1" applyBorder="1" applyAlignment="1">
      <alignment horizontal="center"/>
    </xf>
    <xf numFmtId="4" fontId="0" fillId="9" borderId="0" xfId="0" applyFill="1" applyBorder="1" applyAlignment="1">
      <alignment horizontal="center"/>
    </xf>
    <xf numFmtId="4" fontId="0" fillId="0" borderId="101" xfId="0" applyBorder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96" xfId="0" applyBorder="1" applyAlignment="1">
      <alignment horizontal="center"/>
    </xf>
    <xf numFmtId="0" fontId="2" fillId="6" borderId="102" xfId="0" applyFont="1" applyFill="1" applyBorder="1" applyAlignment="1">
      <alignment horizontal="center" vertical="center" wrapText="1"/>
    </xf>
    <xf numFmtId="3" fontId="2" fillId="2" borderId="102" xfId="0" applyFont="1" applyFill="1" applyBorder="1" applyAlignment="1">
      <alignment horizontal="center" vertical="center" wrapText="1"/>
    </xf>
    <xf numFmtId="4" fontId="2" fillId="2" borderId="103" xfId="0" applyFont="1" applyFill="1" applyBorder="1" applyAlignment="1">
      <alignment horizontal="center" vertical="center" wrapText="1"/>
    </xf>
    <xf numFmtId="4" fontId="2" fillId="6" borderId="102" xfId="0" applyFont="1" applyFill="1" applyBorder="1" applyAlignment="1">
      <alignment horizontal="center" vertical="center" wrapText="1"/>
    </xf>
    <xf numFmtId="3" fontId="2" fillId="6" borderId="102" xfId="0" applyFont="1" applyFill="1" applyBorder="1" applyAlignment="1">
      <alignment horizontal="center" vertical="center" wrapText="1"/>
    </xf>
    <xf numFmtId="4" fontId="2" fillId="4" borderId="102" xfId="0" applyFont="1" applyFill="1" applyBorder="1" applyAlignment="1">
      <alignment horizontal="center" vertical="center" wrapText="1"/>
    </xf>
    <xf numFmtId="4" fontId="2" fillId="4" borderId="103" xfId="0" applyFont="1" applyFill="1" applyBorder="1" applyAlignment="1">
      <alignment horizontal="center" vertical="center" wrapText="1"/>
    </xf>
    <xf numFmtId="4" fontId="2" fillId="5" borderId="102" xfId="0" applyFont="1" applyFill="1" applyBorder="1" applyAlignment="1">
      <alignment horizontal="center" vertical="center" wrapText="1"/>
    </xf>
    <xf numFmtId="165" fontId="2" fillId="5" borderId="103" xfId="0" applyNumberFormat="1" applyFont="1" applyFill="1" applyBorder="1" applyAlignment="1">
      <alignment horizontal="center" vertical="center" wrapText="1"/>
    </xf>
    <xf numFmtId="0" fontId="2" fillId="6" borderId="104" xfId="0" applyFont="1" applyFill="1" applyBorder="1" applyAlignment="1">
      <alignment horizontal="center" vertical="center" wrapText="1"/>
    </xf>
    <xf numFmtId="0" fontId="0" fillId="0" borderId="105" xfId="0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6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4" fontId="1" fillId="0" borderId="27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106" xfId="0" applyBorder="1" applyAlignment="1">
      <alignment horizontal="center" vertical="center"/>
    </xf>
    <xf numFmtId="0" fontId="0" fillId="0" borderId="87" xfId="0" applyBorder="1" applyAlignment="1">
      <alignment horizontal="center" vertical="center" wrapText="1"/>
    </xf>
    <xf numFmtId="3" fontId="0" fillId="0" borderId="0" xfId="0" applyFill="1" applyBorder="1" applyAlignment="1">
      <alignment horizontal="center" vertical="center"/>
    </xf>
    <xf numFmtId="4" fontId="0" fillId="0" borderId="3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4" fontId="0" fillId="0" borderId="25" xfId="0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3" fontId="0" fillId="0" borderId="0" xfId="0" applyFill="1" applyBorder="1" applyAlignment="1">
      <alignment horizontal="center" vertical="center"/>
    </xf>
    <xf numFmtId="4" fontId="0" fillId="0" borderId="2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 vertical="center"/>
    </xf>
    <xf numFmtId="4" fontId="0" fillId="0" borderId="26" xfId="0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3" fontId="0" fillId="0" borderId="52" xfId="0" applyFill="1" applyBorder="1" applyAlignment="1">
      <alignment horizontal="center" vertical="center"/>
    </xf>
    <xf numFmtId="4" fontId="0" fillId="0" borderId="40" xfId="0" applyFill="1" applyBorder="1" applyAlignment="1">
      <alignment horizontal="center" vertical="center"/>
    </xf>
    <xf numFmtId="3" fontId="0" fillId="0" borderId="52" xfId="0" applyNumberFormat="1" applyFill="1" applyBorder="1" applyAlignment="1">
      <alignment horizontal="center" vertical="center"/>
    </xf>
    <xf numFmtId="3" fontId="0" fillId="0" borderId="107" xfId="0" applyNumberFormat="1" applyFill="1" applyBorder="1" applyAlignment="1">
      <alignment horizontal="center" vertical="center"/>
    </xf>
    <xf numFmtId="4" fontId="0" fillId="0" borderId="54" xfId="0" applyFill="1" applyBorder="1" applyAlignment="1">
      <alignment horizontal="center" vertical="center"/>
    </xf>
    <xf numFmtId="165" fontId="0" fillId="0" borderId="52" xfId="0" applyNumberFormat="1" applyBorder="1" applyAlignment="1">
      <alignment horizontal="center" vertical="center"/>
    </xf>
    <xf numFmtId="4" fontId="0" fillId="0" borderId="96" xfId="0" applyFont="1" applyBorder="1" applyAlignment="1">
      <alignment horizontal="center" vertical="center"/>
    </xf>
    <xf numFmtId="4" fontId="0" fillId="6" borderId="103" xfId="0" applyFont="1" applyFill="1" applyBorder="1" applyAlignment="1">
      <alignment horizontal="center"/>
    </xf>
    <xf numFmtId="4" fontId="0" fillId="6" borderId="96" xfId="0" applyFont="1" applyFill="1" applyBorder="1" applyAlignment="1">
      <alignment horizontal="center"/>
    </xf>
    <xf numFmtId="4" fontId="0" fillId="6" borderId="97" xfId="0" applyFont="1" applyFill="1" applyBorder="1" applyAlignment="1">
      <alignment horizontal="center"/>
    </xf>
    <xf numFmtId="4" fontId="0" fillId="6" borderId="103" xfId="0" applyFont="1" applyFill="1" applyBorder="1" applyAlignment="1">
      <alignment horizontal="center" vertical="center"/>
    </xf>
    <xf numFmtId="4" fontId="0" fillId="6" borderId="96" xfId="0" applyFont="1" applyFill="1" applyBorder="1" applyAlignment="1">
      <alignment horizontal="center" vertical="center"/>
    </xf>
    <xf numFmtId="4" fontId="0" fillId="6" borderId="106" xfId="0" applyFont="1" applyFill="1" applyBorder="1" applyAlignment="1">
      <alignment horizontal="center" vertical="center"/>
    </xf>
    <xf numFmtId="3" fontId="2" fillId="8" borderId="1" xfId="0" applyFont="1" applyFill="1" applyBorder="1" applyAlignment="1">
      <alignment horizontal="center" vertical="center" wrapText="1"/>
    </xf>
    <xf numFmtId="3" fontId="2" fillId="5" borderId="1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8" borderId="14" xfId="0" applyFont="1" applyFill="1" applyBorder="1" applyAlignment="1">
      <alignment horizontal="center" vertical="center" wrapText="1"/>
    </xf>
    <xf numFmtId="3" fontId="2" fillId="5" borderId="43" xfId="0" applyFont="1" applyFill="1" applyBorder="1" applyAlignment="1">
      <alignment horizontal="center" vertical="center" wrapText="1"/>
    </xf>
    <xf numFmtId="3" fontId="0" fillId="0" borderId="108" xfId="0" applyBorder="1" applyAlignment="1">
      <alignment horizontal="center"/>
    </xf>
    <xf numFmtId="3" fontId="0" fillId="0" borderId="35" xfId="0" applyBorder="1" applyAlignment="1">
      <alignment horizontal="center"/>
    </xf>
    <xf numFmtId="3" fontId="0" fillId="0" borderId="4" xfId="0" applyBorder="1" applyAlignment="1">
      <alignment horizontal="center"/>
    </xf>
    <xf numFmtId="3" fontId="0" fillId="0" borderId="10" xfId="0" applyBorder="1" applyAlignment="1">
      <alignment horizontal="center"/>
    </xf>
    <xf numFmtId="4" fontId="0" fillId="0" borderId="8" xfId="0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109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4" fontId="0" fillId="0" borderId="9" xfId="0" applyFont="1" applyBorder="1" applyAlignment="1">
      <alignment horizontal="center" vertical="center"/>
    </xf>
    <xf numFmtId="3" fontId="0" fillId="0" borderId="24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4" fontId="0" fillId="0" borderId="0" xfId="0" applyFont="1" applyFill="1" applyBorder="1" applyAlignment="1">
      <alignment horizontal="center" vertical="center"/>
    </xf>
    <xf numFmtId="4" fontId="0" fillId="6" borderId="9" xfId="0" applyFont="1" applyFill="1" applyBorder="1" applyAlignment="1">
      <alignment horizontal="center" vertical="center"/>
    </xf>
    <xf numFmtId="4" fontId="0" fillId="6" borderId="65" xfId="0" applyFont="1" applyFill="1" applyBorder="1" applyAlignment="1">
      <alignment horizontal="center" vertical="center"/>
    </xf>
    <xf numFmtId="3" fontId="0" fillId="0" borderId="40" xfId="0" applyFont="1" applyFill="1" applyBorder="1" applyAlignment="1">
      <alignment horizontal="center" vertical="center"/>
    </xf>
    <xf numFmtId="1" fontId="0" fillId="0" borderId="52" xfId="0" applyNumberFormat="1" applyFill="1" applyBorder="1" applyAlignment="1">
      <alignment horizontal="center" vertical="center"/>
    </xf>
    <xf numFmtId="164" fontId="0" fillId="0" borderId="54" xfId="0" applyNumberFormat="1" applyFill="1" applyBorder="1" applyAlignment="1">
      <alignment horizontal="center" vertical="center"/>
    </xf>
    <xf numFmtId="4" fontId="0" fillId="0" borderId="7" xfId="0" applyFont="1" applyFill="1" applyBorder="1" applyAlignment="1">
      <alignment horizontal="center" vertical="center"/>
    </xf>
    <xf numFmtId="3" fontId="0" fillId="0" borderId="0" xfId="0" applyBorder="1" applyAlignment="1">
      <alignment horizontal="center"/>
    </xf>
    <xf numFmtId="4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7" borderId="110" xfId="0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43" xfId="0" applyFont="1" applyFill="1" applyBorder="1" applyAlignment="1">
      <alignment horizontal="center"/>
    </xf>
    <xf numFmtId="2" fontId="0" fillId="0" borderId="111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112" xfId="0" applyNumberFormat="1" applyBorder="1" applyAlignment="1">
      <alignment horizontal="center"/>
    </xf>
    <xf numFmtId="3" fontId="0" fillId="0" borderId="113" xfId="0" applyNumberFormat="1" applyBorder="1" applyAlignment="1">
      <alignment horizontal="center"/>
    </xf>
    <xf numFmtId="0" fontId="2" fillId="7" borderId="114" xfId="0" applyFont="1" applyFill="1" applyBorder="1" applyAlignment="1">
      <alignment horizontal="left"/>
    </xf>
    <xf numFmtId="0" fontId="0" fillId="7" borderId="17" xfId="0" applyFill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7" borderId="115" xfId="0" applyFont="1" applyFill="1" applyBorder="1" applyAlignment="1">
      <alignment horizontal="left"/>
    </xf>
    <xf numFmtId="0" fontId="0" fillId="7" borderId="116" xfId="0" applyFill="1" applyBorder="1" applyAlignment="1">
      <alignment horizontal="center"/>
    </xf>
    <xf numFmtId="0" fontId="0" fillId="7" borderId="117" xfId="0" applyFill="1" applyBorder="1" applyAlignment="1">
      <alignment horizontal="center"/>
    </xf>
    <xf numFmtId="0" fontId="0" fillId="7" borderId="118" xfId="0" applyFill="1" applyBorder="1" applyAlignment="1">
      <alignment horizontal="center"/>
    </xf>
    <xf numFmtId="3" fontId="0" fillId="0" borderId="119" xfId="0" applyNumberFormat="1" applyBorder="1" applyAlignment="1">
      <alignment horizontal="center"/>
    </xf>
    <xf numFmtId="0" fontId="0" fillId="9" borderId="0" xfId="0" applyFill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4" xfId="0" applyNumberForma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 wrapText="1"/>
    </xf>
    <xf numFmtId="2" fontId="0" fillId="0" borderId="66" xfId="0" applyNumberFormat="1" applyFill="1" applyBorder="1" applyAlignment="1">
      <alignment horizontal="center" vertical="center"/>
    </xf>
    <xf numFmtId="175" fontId="0" fillId="0" borderId="66" xfId="0" applyNumberFormat="1" applyFill="1" applyBorder="1" applyAlignment="1">
      <alignment horizontal="center" vertical="center"/>
    </xf>
    <xf numFmtId="2" fontId="0" fillId="0" borderId="67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3" fontId="0" fillId="0" borderId="33" xfId="0" applyNumberFormat="1" applyBorder="1" applyAlignment="1">
      <alignment horizontal="center"/>
    </xf>
    <xf numFmtId="3" fontId="0" fillId="0" borderId="120" xfId="0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10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" fontId="0" fillId="0" borderId="5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right"/>
    </xf>
    <xf numFmtId="0" fontId="2" fillId="6" borderId="121" xfId="0" applyFont="1" applyFill="1" applyBorder="1" applyAlignment="1">
      <alignment horizontal="right"/>
    </xf>
    <xf numFmtId="0" fontId="2" fillId="7" borderId="1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0" borderId="123" xfId="0" applyBorder="1" applyAlignment="1">
      <alignment horizontal="left"/>
    </xf>
    <xf numFmtId="0" fontId="0" fillId="0" borderId="123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" fontId="0" fillId="0" borderId="124" xfId="0" applyBorder="1" applyAlignment="1">
      <alignment horizontal="center"/>
    </xf>
    <xf numFmtId="4" fontId="0" fillId="0" borderId="37" xfId="0" applyBorder="1" applyAlignment="1">
      <alignment horizontal="center"/>
    </xf>
    <xf numFmtId="4" fontId="0" fillId="0" borderId="12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4" fontId="0" fillId="0" borderId="0" xfId="0" applyBorder="1" applyAlignment="1">
      <alignment horizontal="center" vertical="center"/>
    </xf>
    <xf numFmtId="4" fontId="0" fillId="0" borderId="0" xfId="0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3" fontId="0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1" fillId="0" borderId="27" xfId="0" applyFont="1" applyBorder="1" applyAlignment="1">
      <alignment horizontal="center" vertical="center" wrapText="1"/>
    </xf>
    <xf numFmtId="3" fontId="0" fillId="6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6" borderId="100" xfId="0" applyNumberFormat="1" applyFill="1" applyBorder="1" applyAlignment="1">
      <alignment horizontal="center"/>
    </xf>
    <xf numFmtId="3" fontId="0" fillId="6" borderId="0" xfId="0" applyNumberFormat="1" applyFill="1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26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0" fillId="0" borderId="127" xfId="0" applyNumberFormat="1" applyBorder="1" applyAlignment="1">
      <alignment horizontal="center"/>
    </xf>
    <xf numFmtId="0" fontId="1" fillId="0" borderId="96" xfId="0" applyFont="1" applyBorder="1" applyAlignment="1">
      <alignment horizontal="center" vertical="center" wrapText="1"/>
    </xf>
    <xf numFmtId="4" fontId="2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70" xfId="0" applyNumberFormat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8" xfId="0" applyBorder="1" applyAlignment="1">
      <alignment horizontal="center"/>
    </xf>
    <xf numFmtId="0" fontId="0" fillId="0" borderId="64" xfId="0" applyBorder="1" applyAlignment="1">
      <alignment horizontal="center" vertical="center"/>
    </xf>
    <xf numFmtId="4" fontId="0" fillId="0" borderId="45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8" fillId="7" borderId="4" xfId="0" applyFont="1" applyFill="1" applyBorder="1" applyAlignment="1">
      <alignment/>
    </xf>
    <xf numFmtId="0" fontId="0" fillId="7" borderId="0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7" fillId="7" borderId="4" xfId="0" applyNumberFormat="1" applyFont="1" applyFill="1" applyBorder="1" applyAlignment="1">
      <alignment horizontal="left"/>
    </xf>
    <xf numFmtId="0" fontId="7" fillId="7" borderId="10" xfId="0" applyFont="1" applyFill="1" applyBorder="1" applyAlignment="1">
      <alignment horizontal="left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39" xfId="0" applyBorder="1" applyAlignment="1">
      <alignment horizontal="center"/>
    </xf>
    <xf numFmtId="4" fontId="0" fillId="0" borderId="24" xfId="0" applyBorder="1" applyAlignment="1">
      <alignment horizontal="center"/>
    </xf>
    <xf numFmtId="4" fontId="0" fillId="0" borderId="38" xfId="0" applyBorder="1" applyAlignment="1">
      <alignment horizontal="center"/>
    </xf>
    <xf numFmtId="3" fontId="0" fillId="0" borderId="52" xfId="0" applyNumberFormat="1" applyBorder="1" applyAlignment="1">
      <alignment horizontal="center"/>
    </xf>
    <xf numFmtId="4" fontId="0" fillId="0" borderId="40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4" fontId="0" fillId="0" borderId="0" xfId="0" applyFill="1" applyBorder="1" applyAlignment="1">
      <alignment horizontal="center"/>
    </xf>
    <xf numFmtId="4" fontId="0" fillId="0" borderId="0" xfId="0" applyFont="1" applyFill="1" applyBorder="1" applyAlignment="1">
      <alignment horizontal="center"/>
    </xf>
    <xf numFmtId="4" fontId="0" fillId="0" borderId="52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129" xfId="0" applyFont="1" applyFill="1" applyBorder="1" applyAlignment="1">
      <alignment horizontal="center" vertical="center" wrapText="1"/>
    </xf>
    <xf numFmtId="0" fontId="2" fillId="7" borderId="9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13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2" fillId="3" borderId="2" xfId="0" applyFont="1" applyFill="1" applyBorder="1" applyAlignment="1">
      <alignment horizontal="center"/>
    </xf>
    <xf numFmtId="4" fontId="2" fillId="3" borderId="131" xfId="0" applyFont="1" applyFill="1" applyBorder="1" applyAlignment="1">
      <alignment horizontal="center"/>
    </xf>
    <xf numFmtId="4" fontId="2" fillId="2" borderId="132" xfId="0" applyFont="1" applyFill="1" applyBorder="1" applyAlignment="1">
      <alignment horizontal="center" vertical="center" wrapText="1"/>
    </xf>
    <xf numFmtId="4" fontId="2" fillId="2" borderId="9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2" fillId="6" borderId="3" xfId="0" applyFont="1" applyFill="1" applyBorder="1" applyAlignment="1">
      <alignment horizontal="center" vertical="center"/>
    </xf>
    <xf numFmtId="0" fontId="2" fillId="6" borderId="109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4" fontId="2" fillId="3" borderId="47" xfId="0" applyFont="1" applyFill="1" applyBorder="1" applyAlignment="1">
      <alignment horizontal="center"/>
    </xf>
    <xf numFmtId="0" fontId="13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4" borderId="13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4" fontId="2" fillId="8" borderId="3" xfId="0" applyFont="1" applyFill="1" applyBorder="1" applyAlignment="1">
      <alignment horizontal="center" vertical="center" wrapText="1"/>
    </xf>
    <xf numFmtId="4" fontId="2" fillId="8" borderId="1" xfId="0" applyFont="1" applyFill="1" applyBorder="1" applyAlignment="1">
      <alignment horizontal="center" vertical="center" wrapText="1"/>
    </xf>
    <xf numFmtId="4" fontId="2" fillId="8" borderId="103" xfId="0" applyFont="1" applyFill="1" applyBorder="1" applyAlignment="1">
      <alignment horizontal="center" vertical="center" wrapText="1"/>
    </xf>
    <xf numFmtId="0" fontId="2" fillId="6" borderId="133" xfId="0" applyFont="1" applyFill="1" applyBorder="1" applyAlignment="1">
      <alignment horizontal="center" vertical="center"/>
    </xf>
    <xf numFmtId="0" fontId="2" fillId="6" borderId="134" xfId="0" applyFont="1" applyFill="1" applyBorder="1" applyAlignment="1">
      <alignment horizontal="center" vertical="center"/>
    </xf>
    <xf numFmtId="0" fontId="2" fillId="7" borderId="135" xfId="0" applyFont="1" applyFill="1" applyBorder="1" applyAlignment="1">
      <alignment horizontal="center" vertical="center"/>
    </xf>
    <xf numFmtId="0" fontId="2" fillId="7" borderId="134" xfId="0" applyFont="1" applyFill="1" applyBorder="1" applyAlignment="1">
      <alignment horizontal="center" vertical="center"/>
    </xf>
    <xf numFmtId="0" fontId="2" fillId="7" borderId="136" xfId="0" applyFont="1" applyFill="1" applyBorder="1" applyAlignment="1">
      <alignment horizontal="center" vertical="center" wrapText="1"/>
    </xf>
    <xf numFmtId="0" fontId="2" fillId="7" borderId="137" xfId="0" applyFont="1" applyFill="1" applyBorder="1" applyAlignment="1">
      <alignment horizontal="center" vertical="center" wrapText="1"/>
    </xf>
    <xf numFmtId="0" fontId="2" fillId="7" borderId="13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7" borderId="139" xfId="0" applyFont="1" applyFill="1" applyBorder="1" applyAlignment="1">
      <alignment vertical="center" wrapText="1"/>
    </xf>
    <xf numFmtId="0" fontId="6" fillId="7" borderId="140" xfId="0" applyFont="1" applyFill="1" applyBorder="1" applyAlignment="1">
      <alignment vertical="center" wrapText="1"/>
    </xf>
    <xf numFmtId="0" fontId="6" fillId="7" borderId="82" xfId="0" applyFont="1" applyFill="1" applyBorder="1" applyAlignment="1">
      <alignment vertical="center" wrapText="1"/>
    </xf>
    <xf numFmtId="0" fontId="6" fillId="7" borderId="45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vertical="center" wrapText="1"/>
    </xf>
    <xf numFmtId="0" fontId="6" fillId="7" borderId="29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center" wrapText="1"/>
    </xf>
    <xf numFmtId="0" fontId="6" fillId="7" borderId="16" xfId="0" applyFont="1" applyFill="1" applyBorder="1" applyAlignment="1">
      <alignment vertical="center" wrapText="1"/>
    </xf>
    <xf numFmtId="0" fontId="2" fillId="6" borderId="102" xfId="0" applyFont="1" applyFill="1" applyBorder="1" applyAlignment="1">
      <alignment horizontal="center" vertical="center" wrapText="1"/>
    </xf>
    <xf numFmtId="0" fontId="2" fillId="6" borderId="91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131" xfId="0" applyFont="1" applyFill="1" applyBorder="1" applyAlignment="1">
      <alignment horizontal="center"/>
    </xf>
    <xf numFmtId="0" fontId="2" fillId="7" borderId="7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/>
    </xf>
    <xf numFmtId="0" fontId="2" fillId="5" borderId="109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71" xfId="0" applyFont="1" applyFill="1" applyBorder="1" applyAlignment="1">
      <alignment horizontal="center" vertical="center" wrapText="1"/>
    </xf>
    <xf numFmtId="3" fontId="2" fillId="6" borderId="47" xfId="0" applyNumberFormat="1" applyFont="1" applyFill="1" applyBorder="1" applyAlignment="1">
      <alignment horizontal="center" vertical="center"/>
    </xf>
    <xf numFmtId="3" fontId="2" fillId="6" borderId="2" xfId="0" applyNumberFormat="1" applyFont="1" applyFill="1" applyBorder="1" applyAlignment="1">
      <alignment horizontal="center" vertical="center"/>
    </xf>
    <xf numFmtId="3" fontId="2" fillId="6" borderId="71" xfId="0" applyNumberFormat="1" applyFont="1" applyFill="1" applyBorder="1" applyAlignment="1">
      <alignment horizontal="center" vertical="center"/>
    </xf>
    <xf numFmtId="0" fontId="2" fillId="7" borderId="141" xfId="0" applyFont="1" applyFill="1" applyBorder="1" applyAlignment="1">
      <alignment horizontal="center" vertical="center" wrapText="1"/>
    </xf>
    <xf numFmtId="0" fontId="2" fillId="7" borderId="142" xfId="0" applyFont="1" applyFill="1" applyBorder="1" applyAlignment="1">
      <alignment horizontal="center" vertical="center" wrapText="1"/>
    </xf>
    <xf numFmtId="0" fontId="2" fillId="7" borderId="128" xfId="0" applyFont="1" applyFill="1" applyBorder="1" applyAlignment="1">
      <alignment horizontal="center" vertical="center" wrapText="1"/>
    </xf>
    <xf numFmtId="0" fontId="2" fillId="7" borderId="143" xfId="0" applyFont="1" applyFill="1" applyBorder="1" applyAlignment="1">
      <alignment horizontal="center" vertical="center" wrapText="1"/>
    </xf>
    <xf numFmtId="0" fontId="2" fillId="7" borderId="102" xfId="0" applyFont="1" applyFill="1" applyBorder="1" applyAlignment="1">
      <alignment horizontal="center" vertical="center" wrapText="1"/>
    </xf>
    <xf numFmtId="0" fontId="2" fillId="7" borderId="104" xfId="0" applyFont="1" applyFill="1" applyBorder="1" applyAlignment="1">
      <alignment horizontal="center" vertical="center" wrapText="1"/>
    </xf>
    <xf numFmtId="0" fontId="2" fillId="0" borderId="144" xfId="0" applyFont="1" applyBorder="1" applyAlignment="1">
      <alignment horizontal="left"/>
    </xf>
    <xf numFmtId="0" fontId="0" fillId="0" borderId="145" xfId="0" applyBorder="1" applyAlignment="1">
      <alignment horizontal="left"/>
    </xf>
    <xf numFmtId="0" fontId="0" fillId="0" borderId="146" xfId="0" applyBorder="1" applyAlignment="1">
      <alignment horizontal="left"/>
    </xf>
    <xf numFmtId="0" fontId="2" fillId="6" borderId="131" xfId="0" applyFont="1" applyFill="1" applyBorder="1" applyAlignment="1">
      <alignment horizontal="center" vertical="center" wrapText="1"/>
    </xf>
    <xf numFmtId="0" fontId="2" fillId="7" borderId="91" xfId="0" applyFont="1" applyFill="1" applyBorder="1" applyAlignment="1">
      <alignment horizontal="center" vertical="center"/>
    </xf>
    <xf numFmtId="0" fontId="2" fillId="0" borderId="147" xfId="0" applyFont="1" applyBorder="1" applyAlignment="1">
      <alignment horizontal="left" vertical="top" wrapText="1"/>
    </xf>
    <xf numFmtId="0" fontId="2" fillId="0" borderId="148" xfId="0" applyFont="1" applyBorder="1" applyAlignment="1">
      <alignment horizontal="left" vertical="top" wrapText="1"/>
    </xf>
    <xf numFmtId="0" fontId="2" fillId="0" borderId="149" xfId="0" applyFont="1" applyBorder="1" applyAlignment="1">
      <alignment horizontal="left" vertical="top" wrapText="1"/>
    </xf>
    <xf numFmtId="0" fontId="2" fillId="0" borderId="15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51" xfId="0" applyFont="1" applyBorder="1" applyAlignment="1">
      <alignment horizontal="left" vertical="top" wrapText="1"/>
    </xf>
    <xf numFmtId="0" fontId="2" fillId="0" borderId="152" xfId="0" applyFont="1" applyBorder="1" applyAlignment="1">
      <alignment horizontal="left" vertical="top" wrapText="1"/>
    </xf>
    <xf numFmtId="0" fontId="2" fillId="0" borderId="153" xfId="0" applyFont="1" applyBorder="1" applyAlignment="1">
      <alignment horizontal="left" vertical="top" wrapText="1"/>
    </xf>
    <xf numFmtId="0" fontId="2" fillId="0" borderId="154" xfId="0" applyFont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/>
    </xf>
    <xf numFmtId="0" fontId="12" fillId="2" borderId="130" xfId="0" applyFont="1" applyFill="1" applyBorder="1" applyAlignment="1">
      <alignment horizontal="center" vertical="center" wrapText="1"/>
    </xf>
    <xf numFmtId="0" fontId="12" fillId="2" borderId="155" xfId="0" applyFont="1" applyFill="1" applyBorder="1" applyAlignment="1">
      <alignment horizontal="center" vertical="center" wrapText="1"/>
    </xf>
    <xf numFmtId="0" fontId="12" fillId="2" borderId="156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0" fontId="2" fillId="7" borderId="157" xfId="0" applyFont="1" applyFill="1" applyBorder="1" applyAlignment="1">
      <alignment horizontal="center" vertical="center"/>
    </xf>
    <xf numFmtId="0" fontId="2" fillId="7" borderId="97" xfId="0" applyFont="1" applyFill="1" applyBorder="1" applyAlignment="1">
      <alignment horizontal="center" vertical="center"/>
    </xf>
    <xf numFmtId="4" fontId="2" fillId="3" borderId="71" xfId="0" applyFont="1" applyFill="1" applyBorder="1" applyAlignment="1">
      <alignment horizontal="center"/>
    </xf>
    <xf numFmtId="0" fontId="2" fillId="7" borderId="136" xfId="0" applyFont="1" applyFill="1" applyBorder="1" applyAlignment="1">
      <alignment horizontal="left" vertical="center" wrapText="1"/>
    </xf>
    <xf numFmtId="0" fontId="2" fillId="7" borderId="138" xfId="0" applyFont="1" applyFill="1" applyBorder="1" applyAlignment="1">
      <alignment horizontal="left" vertical="center" wrapText="1"/>
    </xf>
    <xf numFmtId="0" fontId="2" fillId="7" borderId="9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109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109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5" borderId="15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09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71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12" fillId="2" borderId="155" xfId="0" applyFont="1" applyFill="1" applyBorder="1" applyAlignment="1">
      <alignment horizontal="center" vertical="center"/>
    </xf>
    <xf numFmtId="0" fontId="0" fillId="0" borderId="158" xfId="0" applyBorder="1" applyAlignment="1">
      <alignment horizontal="left" vertical="center" wrapText="1"/>
    </xf>
    <xf numFmtId="0" fontId="0" fillId="0" borderId="159" xfId="0" applyBorder="1" applyAlignment="1">
      <alignment horizontal="left" vertical="center" wrapText="1"/>
    </xf>
    <xf numFmtId="0" fontId="0" fillId="0" borderId="160" xfId="0" applyBorder="1" applyAlignment="1">
      <alignment horizontal="left" vertical="center" wrapText="1"/>
    </xf>
    <xf numFmtId="0" fontId="2" fillId="6" borderId="14" xfId="0" applyFont="1" applyFill="1" applyBorder="1" applyAlignment="1">
      <alignment horizontal="center" wrapText="1"/>
    </xf>
    <xf numFmtId="0" fontId="2" fillId="6" borderId="44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3" fontId="2" fillId="6" borderId="9" xfId="0" applyFont="1" applyFill="1" applyBorder="1" applyAlignment="1">
      <alignment horizontal="center"/>
    </xf>
    <xf numFmtId="3" fontId="2" fillId="6" borderId="0" xfId="0" applyFont="1" applyFill="1" applyBorder="1" applyAlignment="1">
      <alignment horizontal="center"/>
    </xf>
    <xf numFmtId="3" fontId="2" fillId="6" borderId="6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/>
    </xf>
    <xf numFmtId="0" fontId="2" fillId="10" borderId="109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43" xfId="0" applyFont="1" applyFill="1" applyBorder="1" applyAlignment="1">
      <alignment horizontal="center" vertical="center"/>
    </xf>
    <xf numFmtId="0" fontId="2" fillId="6" borderId="139" xfId="0" applyFont="1" applyFill="1" applyBorder="1" applyAlignment="1">
      <alignment horizontal="center"/>
    </xf>
    <xf numFmtId="0" fontId="2" fillId="6" borderId="82" xfId="0" applyFont="1" applyFill="1" applyBorder="1" applyAlignment="1">
      <alignment horizontal="center"/>
    </xf>
    <xf numFmtId="0" fontId="2" fillId="7" borderId="136" xfId="0" applyFont="1" applyFill="1" applyBorder="1" applyAlignment="1">
      <alignment horizontal="center"/>
    </xf>
    <xf numFmtId="0" fontId="2" fillId="7" borderId="137" xfId="0" applyFont="1" applyFill="1" applyBorder="1" applyAlignment="1">
      <alignment horizontal="center"/>
    </xf>
    <xf numFmtId="0" fontId="2" fillId="7" borderId="138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8" borderId="9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7" borderId="139" xfId="0" applyFont="1" applyFill="1" applyBorder="1" applyAlignment="1">
      <alignment horizontal="left"/>
    </xf>
    <xf numFmtId="0" fontId="2" fillId="7" borderId="140" xfId="0" applyFont="1" applyFill="1" applyBorder="1" applyAlignment="1">
      <alignment horizontal="left"/>
    </xf>
    <xf numFmtId="0" fontId="2" fillId="7" borderId="82" xfId="0" applyFont="1" applyFill="1" applyBorder="1" applyAlignment="1">
      <alignment horizontal="left"/>
    </xf>
    <xf numFmtId="0" fontId="2" fillId="7" borderId="45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2" fillId="7" borderId="105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 vertical="center" wrapText="1"/>
    </xf>
    <xf numFmtId="0" fontId="2" fillId="6" borderId="109" xfId="0" applyFont="1" applyFill="1" applyBorder="1" applyAlignment="1">
      <alignment horizontal="center" vertical="center" wrapText="1"/>
    </xf>
    <xf numFmtId="0" fontId="2" fillId="5" borderId="130" xfId="0" applyFont="1" applyFill="1" applyBorder="1" applyAlignment="1">
      <alignment horizontal="center" vertical="center" wrapText="1"/>
    </xf>
    <xf numFmtId="0" fontId="2" fillId="5" borderId="155" xfId="0" applyFont="1" applyFill="1" applyBorder="1" applyAlignment="1">
      <alignment horizontal="center" vertical="center" wrapText="1"/>
    </xf>
    <xf numFmtId="0" fontId="2" fillId="5" borderId="134" xfId="0" applyFont="1" applyFill="1" applyBorder="1" applyAlignment="1">
      <alignment horizontal="center" vertical="center" wrapText="1"/>
    </xf>
    <xf numFmtId="4" fontId="2" fillId="3" borderId="36" xfId="0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40</xdr:row>
      <xdr:rowOff>104775</xdr:rowOff>
    </xdr:from>
    <xdr:to>
      <xdr:col>12</xdr:col>
      <xdr:colOff>561975</xdr:colOff>
      <xdr:row>55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b="6864"/>
        <a:stretch>
          <a:fillRect/>
        </a:stretch>
      </xdr:blipFill>
      <xdr:spPr>
        <a:xfrm>
          <a:off x="8924925" y="8658225"/>
          <a:ext cx="2047875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44</xdr:row>
      <xdr:rowOff>0</xdr:rowOff>
    </xdr:from>
    <xdr:to>
      <xdr:col>14</xdr:col>
      <xdr:colOff>47625</xdr:colOff>
      <xdr:row>54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5206"/>
        <a:stretch>
          <a:fillRect/>
        </a:stretch>
      </xdr:blipFill>
      <xdr:spPr>
        <a:xfrm>
          <a:off x="4133850" y="8524875"/>
          <a:ext cx="63246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4.7109375" style="0" customWidth="1"/>
  </cols>
  <sheetData>
    <row r="1" ht="15" customHeight="1">
      <c r="A1" s="7" t="s">
        <v>113</v>
      </c>
    </row>
    <row r="2" ht="34.5" customHeight="1">
      <c r="A2" s="615" t="s">
        <v>301</v>
      </c>
    </row>
    <row r="3" ht="18.75" customHeight="1">
      <c r="A3" t="s">
        <v>263</v>
      </c>
    </row>
    <row r="4" ht="18.75" customHeight="1">
      <c r="A4" t="s">
        <v>264</v>
      </c>
    </row>
    <row r="5" s="700" customFormat="1" ht="15" customHeight="1">
      <c r="A5" s="701" t="s">
        <v>302</v>
      </c>
    </row>
    <row r="6" ht="37.5" customHeight="1">
      <c r="A6" s="462" t="s">
        <v>261</v>
      </c>
    </row>
    <row r="7" ht="12.75">
      <c r="A7" s="462"/>
    </row>
    <row r="8" ht="38.25">
      <c r="A8" s="462" t="s">
        <v>280</v>
      </c>
    </row>
    <row r="10" ht="25.5">
      <c r="A10" s="463" t="s">
        <v>281</v>
      </c>
    </row>
    <row r="12" ht="38.25">
      <c r="A12" s="462" t="s">
        <v>282</v>
      </c>
    </row>
    <row r="14" ht="28.5" customHeight="1">
      <c r="A14" s="462" t="s">
        <v>283</v>
      </c>
    </row>
    <row r="16" ht="38.25">
      <c r="A16" s="462" t="s">
        <v>284</v>
      </c>
    </row>
    <row r="18" ht="12.75">
      <c r="A18" t="s">
        <v>253</v>
      </c>
    </row>
    <row r="22" ht="15.75">
      <c r="A22" s="69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3" sqref="A53"/>
    </sheetView>
  </sheetViews>
  <sheetFormatPr defaultColWidth="9.140625" defaultRowHeight="12.75"/>
  <cols>
    <col min="1" max="2" width="18.421875" style="8" customWidth="1"/>
    <col min="3" max="3" width="10.140625" style="8" customWidth="1"/>
    <col min="4" max="4" width="11.8515625" style="8" customWidth="1"/>
    <col min="5" max="7" width="12.57421875" style="8" customWidth="1"/>
    <col min="8" max="8" width="11.7109375" style="8" customWidth="1"/>
    <col min="9" max="9" width="14.57421875" style="8" customWidth="1"/>
    <col min="10" max="10" width="9.8515625" style="8" customWidth="1"/>
    <col min="11" max="11" width="12.140625" style="8" customWidth="1"/>
    <col min="12" max="12" width="10.28125" style="8" customWidth="1"/>
    <col min="13" max="13" width="15.57421875" style="8" customWidth="1"/>
    <col min="14" max="14" width="11.00390625" style="8" customWidth="1"/>
    <col min="15" max="15" width="30.57421875" style="8" customWidth="1"/>
    <col min="16" max="16" width="29.421875" style="8" customWidth="1"/>
    <col min="17" max="21" width="11.00390625" style="8" customWidth="1"/>
    <col min="22" max="16384" width="9.140625" style="8" customWidth="1"/>
  </cols>
  <sheetData>
    <row r="1" spans="1:17" ht="24.75" customHeight="1">
      <c r="A1" s="685" t="s">
        <v>114</v>
      </c>
      <c r="B1" s="720" t="s">
        <v>115</v>
      </c>
      <c r="C1" s="720"/>
      <c r="D1" s="694" t="s">
        <v>161</v>
      </c>
      <c r="E1" s="694"/>
      <c r="F1" s="694"/>
      <c r="G1" s="18" t="s">
        <v>169</v>
      </c>
      <c r="H1" s="707"/>
      <c r="I1" s="710" t="s">
        <v>148</v>
      </c>
      <c r="J1" s="686" t="s">
        <v>162</v>
      </c>
      <c r="K1" s="686"/>
      <c r="L1" s="687"/>
      <c r="M1" s="691" t="s">
        <v>99</v>
      </c>
      <c r="N1" s="694" t="s">
        <v>270</v>
      </c>
      <c r="O1" s="695"/>
      <c r="P1" s="590"/>
      <c r="Q1" s="21"/>
    </row>
    <row r="2" spans="1:21" ht="27" customHeight="1">
      <c r="A2" s="680"/>
      <c r="B2" s="721"/>
      <c r="C2" s="721"/>
      <c r="D2" s="696"/>
      <c r="E2" s="696"/>
      <c r="F2" s="696"/>
      <c r="G2" s="708"/>
      <c r="H2" s="709"/>
      <c r="I2" s="711"/>
      <c r="J2" s="688"/>
      <c r="K2" s="688"/>
      <c r="L2" s="682"/>
      <c r="M2" s="692"/>
      <c r="N2" s="696"/>
      <c r="O2" s="697"/>
      <c r="P2"/>
      <c r="Q2"/>
      <c r="R2"/>
      <c r="S2"/>
      <c r="T2"/>
      <c r="U2"/>
    </row>
    <row r="3" spans="1:21" s="11" customFormat="1" ht="70.5" customHeight="1">
      <c r="A3" s="56" t="s">
        <v>116</v>
      </c>
      <c r="B3" s="466" t="s">
        <v>30</v>
      </c>
      <c r="C3" s="467" t="s">
        <v>143</v>
      </c>
      <c r="D3" s="468" t="s">
        <v>32</v>
      </c>
      <c r="E3" s="468" t="s">
        <v>69</v>
      </c>
      <c r="F3" s="469" t="s">
        <v>147</v>
      </c>
      <c r="G3" s="470" t="s">
        <v>36</v>
      </c>
      <c r="H3" s="471" t="s">
        <v>149</v>
      </c>
      <c r="I3" s="712"/>
      <c r="J3" s="472" t="s">
        <v>33</v>
      </c>
      <c r="K3" s="472" t="s">
        <v>34</v>
      </c>
      <c r="L3" s="473" t="s">
        <v>35</v>
      </c>
      <c r="M3" s="692"/>
      <c r="N3" s="465" t="s">
        <v>227</v>
      </c>
      <c r="O3" s="474" t="s">
        <v>228</v>
      </c>
      <c r="P3"/>
      <c r="Q3"/>
      <c r="R3"/>
      <c r="S3"/>
      <c r="T3"/>
      <c r="U3"/>
    </row>
    <row r="4" spans="1:21" ht="12.75">
      <c r="A4" s="127"/>
      <c r="B4" s="698" t="s">
        <v>167</v>
      </c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90"/>
      <c r="P4"/>
      <c r="Q4"/>
      <c r="R4"/>
      <c r="S4"/>
      <c r="T4"/>
      <c r="U4"/>
    </row>
    <row r="5" spans="1:21" ht="12.75">
      <c r="A5" s="93" t="s">
        <v>117</v>
      </c>
      <c r="B5" s="94" t="s">
        <v>141</v>
      </c>
      <c r="C5" s="95">
        <v>36.22</v>
      </c>
      <c r="D5" s="96"/>
      <c r="E5" s="101"/>
      <c r="F5" s="102" t="s">
        <v>97</v>
      </c>
      <c r="G5" s="97">
        <v>-0.187086643</v>
      </c>
      <c r="H5" s="98">
        <f aca="true" t="shared" si="0" ref="H5:H29">20*POWER(10,G5)</f>
        <v>13.00000001069062</v>
      </c>
      <c r="I5" s="91">
        <v>29</v>
      </c>
      <c r="J5" s="85" t="s">
        <v>21</v>
      </c>
      <c r="K5" s="99">
        <v>18.22</v>
      </c>
      <c r="L5" s="111"/>
      <c r="M5" s="464"/>
      <c r="N5" s="504" t="s">
        <v>22</v>
      </c>
      <c r="O5" s="476"/>
      <c r="P5"/>
      <c r="Q5"/>
      <c r="R5"/>
      <c r="S5"/>
      <c r="T5"/>
      <c r="U5"/>
    </row>
    <row r="6" spans="1:21" ht="12.75">
      <c r="A6" s="82" t="s">
        <v>118</v>
      </c>
      <c r="B6" s="83" t="s">
        <v>141</v>
      </c>
      <c r="C6" s="84">
        <v>56.61</v>
      </c>
      <c r="D6" s="86"/>
      <c r="E6" s="59"/>
      <c r="F6" s="87" t="s">
        <v>97</v>
      </c>
      <c r="G6" s="88">
        <v>0</v>
      </c>
      <c r="H6" s="89">
        <f t="shared" si="0"/>
        <v>20</v>
      </c>
      <c r="I6" s="90">
        <v>30</v>
      </c>
      <c r="J6" s="92" t="s">
        <v>21</v>
      </c>
      <c r="K6" s="57">
        <v>29.61</v>
      </c>
      <c r="L6" s="112"/>
      <c r="M6" s="464"/>
      <c r="N6" s="505" t="s">
        <v>22</v>
      </c>
      <c r="O6" s="477"/>
      <c r="P6"/>
      <c r="Q6"/>
      <c r="R6"/>
      <c r="S6"/>
      <c r="T6"/>
      <c r="U6"/>
    </row>
    <row r="7" spans="1:21" ht="12.75">
      <c r="A7" s="82" t="s">
        <v>119</v>
      </c>
      <c r="B7" s="83" t="s">
        <v>141</v>
      </c>
      <c r="C7" s="84">
        <v>66.86</v>
      </c>
      <c r="D7" s="86"/>
      <c r="E7" s="59"/>
      <c r="F7" s="87" t="s">
        <v>97</v>
      </c>
      <c r="G7" s="88">
        <v>-0.124938737</v>
      </c>
      <c r="H7" s="89">
        <f t="shared" si="0"/>
        <v>14.99999998647116</v>
      </c>
      <c r="I7" s="90">
        <v>26</v>
      </c>
      <c r="J7" s="92" t="s">
        <v>21</v>
      </c>
      <c r="K7" s="57">
        <v>48.86</v>
      </c>
      <c r="L7" s="112"/>
      <c r="M7" s="464"/>
      <c r="N7" s="505" t="s">
        <v>22</v>
      </c>
      <c r="O7" s="477"/>
      <c r="P7"/>
      <c r="Q7"/>
      <c r="R7"/>
      <c r="S7"/>
      <c r="T7"/>
      <c r="U7"/>
    </row>
    <row r="8" spans="1:21" s="131" customFormat="1" ht="25.5">
      <c r="A8" s="527" t="s">
        <v>120</v>
      </c>
      <c r="B8" s="528" t="s">
        <v>142</v>
      </c>
      <c r="C8" s="529">
        <v>52.85</v>
      </c>
      <c r="D8" s="530"/>
      <c r="E8" s="611"/>
      <c r="F8" s="612" t="s">
        <v>97</v>
      </c>
      <c r="G8" s="492">
        <v>-0.167086643</v>
      </c>
      <c r="H8" s="493">
        <f t="shared" si="0"/>
        <v>13.612671135856147</v>
      </c>
      <c r="I8" s="494">
        <v>30</v>
      </c>
      <c r="J8" s="495" t="s">
        <v>21</v>
      </c>
      <c r="K8" s="391">
        <v>36.85</v>
      </c>
      <c r="L8" s="496"/>
      <c r="M8" s="478"/>
      <c r="N8" s="503" t="s">
        <v>23</v>
      </c>
      <c r="O8" s="481" t="s">
        <v>265</v>
      </c>
      <c r="P8" s="130"/>
      <c r="Q8" s="130"/>
      <c r="R8" s="130"/>
      <c r="S8" s="130"/>
      <c r="T8" s="130"/>
      <c r="U8" s="130"/>
    </row>
    <row r="9" spans="1:21" s="131" customFormat="1" ht="25.5">
      <c r="A9" s="527" t="s">
        <v>121</v>
      </c>
      <c r="B9" s="528" t="s">
        <v>141</v>
      </c>
      <c r="C9" s="529">
        <v>68.61</v>
      </c>
      <c r="D9" s="530"/>
      <c r="E9" s="611"/>
      <c r="F9" s="612" t="s">
        <v>97</v>
      </c>
      <c r="G9" s="492">
        <v>-0.043546051</v>
      </c>
      <c r="H9" s="493">
        <f t="shared" si="0"/>
        <v>18.091890255111824</v>
      </c>
      <c r="I9" s="494">
        <v>30</v>
      </c>
      <c r="J9" s="495" t="s">
        <v>21</v>
      </c>
      <c r="K9" s="391">
        <v>50.61</v>
      </c>
      <c r="L9" s="496"/>
      <c r="M9" s="478"/>
      <c r="N9" s="503" t="s">
        <v>23</v>
      </c>
      <c r="O9" s="481" t="s">
        <v>266</v>
      </c>
      <c r="P9" s="130"/>
      <c r="Q9" s="130"/>
      <c r="R9" s="130"/>
      <c r="S9" s="130"/>
      <c r="T9" s="130"/>
      <c r="U9" s="130"/>
    </row>
    <row r="10" spans="1:21" s="131" customFormat="1" ht="25.5">
      <c r="A10" s="527" t="s">
        <v>122</v>
      </c>
      <c r="B10" s="528" t="s">
        <v>141</v>
      </c>
      <c r="C10" s="529">
        <v>53.74</v>
      </c>
      <c r="D10" s="613"/>
      <c r="E10" s="614"/>
      <c r="F10" s="612" t="s">
        <v>97</v>
      </c>
      <c r="G10" s="492">
        <v>-0.357940009</v>
      </c>
      <c r="H10" s="493">
        <f t="shared" si="0"/>
        <v>8.771825562521338</v>
      </c>
      <c r="I10" s="494">
        <v>29</v>
      </c>
      <c r="J10" s="495" t="s">
        <v>21</v>
      </c>
      <c r="K10" s="391">
        <v>35.74</v>
      </c>
      <c r="L10" s="496"/>
      <c r="M10" s="478"/>
      <c r="N10" s="503" t="s">
        <v>23</v>
      </c>
      <c r="O10" s="481" t="s">
        <v>267</v>
      </c>
      <c r="P10" s="130"/>
      <c r="Q10" s="130"/>
      <c r="R10" s="130"/>
      <c r="S10" s="130"/>
      <c r="T10" s="130"/>
      <c r="U10" s="130"/>
    </row>
    <row r="11" spans="1:21" s="131" customFormat="1" ht="12.75">
      <c r="A11" s="532" t="s">
        <v>123</v>
      </c>
      <c r="B11" s="528" t="s">
        <v>142</v>
      </c>
      <c r="C11" s="529">
        <v>33.3</v>
      </c>
      <c r="D11" s="613"/>
      <c r="E11" s="614"/>
      <c r="F11" s="612" t="s">
        <v>98</v>
      </c>
      <c r="G11" s="492">
        <v>-0.167086643</v>
      </c>
      <c r="H11" s="493">
        <f t="shared" si="0"/>
        <v>13.612671135856147</v>
      </c>
      <c r="I11" s="494">
        <v>28</v>
      </c>
      <c r="J11" s="495" t="s">
        <v>21</v>
      </c>
      <c r="K11" s="391">
        <v>14.3</v>
      </c>
      <c r="L11" s="496"/>
      <c r="M11" s="478"/>
      <c r="N11" s="508" t="s">
        <v>22</v>
      </c>
      <c r="O11" s="481"/>
      <c r="P11" s="130"/>
      <c r="Q11" s="130"/>
      <c r="R11" s="130"/>
      <c r="S11" s="130"/>
      <c r="T11" s="130"/>
      <c r="U11" s="130"/>
    </row>
    <row r="12" spans="1:21" s="131" customFormat="1" ht="12.75">
      <c r="A12" s="532" t="s">
        <v>124</v>
      </c>
      <c r="B12" s="528" t="s">
        <v>141</v>
      </c>
      <c r="C12" s="529">
        <v>56.77</v>
      </c>
      <c r="D12" s="613"/>
      <c r="E12" s="614"/>
      <c r="F12" s="612" t="s">
        <v>98</v>
      </c>
      <c r="G12" s="492">
        <v>-0.259840697</v>
      </c>
      <c r="H12" s="493">
        <f t="shared" si="0"/>
        <v>10.994849744257007</v>
      </c>
      <c r="I12" s="494">
        <v>25</v>
      </c>
      <c r="J12" s="495" t="s">
        <v>21</v>
      </c>
      <c r="K12" s="391">
        <v>40.77</v>
      </c>
      <c r="L12" s="496"/>
      <c r="M12" s="478"/>
      <c r="N12" s="508" t="s">
        <v>22</v>
      </c>
      <c r="O12" s="481"/>
      <c r="P12" s="130"/>
      <c r="Q12" s="130"/>
      <c r="R12" s="130"/>
      <c r="S12" s="130"/>
      <c r="T12" s="130"/>
      <c r="U12" s="130"/>
    </row>
    <row r="13" spans="1:21" s="131" customFormat="1" ht="25.5">
      <c r="A13" s="527" t="s">
        <v>125</v>
      </c>
      <c r="B13" s="528" t="s">
        <v>141</v>
      </c>
      <c r="C13" s="529">
        <v>43.98</v>
      </c>
      <c r="D13" s="613"/>
      <c r="E13" s="614"/>
      <c r="F13" s="612" t="s">
        <v>98</v>
      </c>
      <c r="G13" s="492">
        <v>0</v>
      </c>
      <c r="H13" s="493">
        <f t="shared" si="0"/>
        <v>20</v>
      </c>
      <c r="I13" s="494">
        <v>27</v>
      </c>
      <c r="J13" s="495" t="s">
        <v>21</v>
      </c>
      <c r="K13" s="391">
        <v>25.98</v>
      </c>
      <c r="L13" s="496"/>
      <c r="M13" s="478"/>
      <c r="N13" s="503" t="s">
        <v>23</v>
      </c>
      <c r="O13" s="481" t="s">
        <v>268</v>
      </c>
      <c r="P13" s="130"/>
      <c r="Q13" s="130"/>
      <c r="R13" s="130"/>
      <c r="S13" s="130"/>
      <c r="T13" s="130"/>
      <c r="U13" s="130"/>
    </row>
    <row r="14" spans="1:21" s="131" customFormat="1" ht="12.75">
      <c r="A14" s="532" t="s">
        <v>126</v>
      </c>
      <c r="B14" s="528" t="s">
        <v>141</v>
      </c>
      <c r="C14" s="529">
        <v>35.53</v>
      </c>
      <c r="D14" s="613"/>
      <c r="E14" s="614"/>
      <c r="F14" s="612" t="s">
        <v>98</v>
      </c>
      <c r="G14" s="492">
        <v>-0.189664066</v>
      </c>
      <c r="H14" s="493">
        <f t="shared" si="0"/>
        <v>12.923076930365925</v>
      </c>
      <c r="I14" s="494">
        <v>26</v>
      </c>
      <c r="J14" s="495" t="s">
        <v>21</v>
      </c>
      <c r="K14" s="391">
        <v>17.53</v>
      </c>
      <c r="L14" s="496"/>
      <c r="M14" s="478"/>
      <c r="N14" s="508" t="s">
        <v>22</v>
      </c>
      <c r="O14" s="481"/>
      <c r="P14" s="130"/>
      <c r="Q14" s="130"/>
      <c r="R14" s="130"/>
      <c r="S14" s="130"/>
      <c r="T14" s="130"/>
      <c r="U14" s="130"/>
    </row>
    <row r="15" spans="1:21" s="131" customFormat="1" ht="25.5">
      <c r="A15" s="527" t="s">
        <v>127</v>
      </c>
      <c r="B15" s="528" t="s">
        <v>141</v>
      </c>
      <c r="C15" s="529">
        <v>70.14</v>
      </c>
      <c r="D15" s="613"/>
      <c r="E15" s="614"/>
      <c r="F15" s="612" t="s">
        <v>98</v>
      </c>
      <c r="G15" s="492">
        <v>-0.167086643</v>
      </c>
      <c r="H15" s="493">
        <f t="shared" si="0"/>
        <v>13.612671135856147</v>
      </c>
      <c r="I15" s="494">
        <v>29</v>
      </c>
      <c r="J15" s="495" t="s">
        <v>21</v>
      </c>
      <c r="K15" s="391">
        <v>54.14</v>
      </c>
      <c r="L15" s="496"/>
      <c r="M15" s="478"/>
      <c r="N15" s="503" t="s">
        <v>23</v>
      </c>
      <c r="O15" s="481" t="s">
        <v>269</v>
      </c>
      <c r="P15" s="130"/>
      <c r="Q15" s="130"/>
      <c r="R15" s="130"/>
      <c r="S15" s="130"/>
      <c r="T15" s="130"/>
      <c r="U15" s="130"/>
    </row>
    <row r="16" spans="1:21" ht="12.75">
      <c r="A16" s="100" t="s">
        <v>128</v>
      </c>
      <c r="B16" s="113" t="s">
        <v>142</v>
      </c>
      <c r="C16" s="114">
        <v>41</v>
      </c>
      <c r="D16" s="115"/>
      <c r="E16" s="116"/>
      <c r="F16" s="117" t="s">
        <v>98</v>
      </c>
      <c r="G16" s="118">
        <v>-0.357940009</v>
      </c>
      <c r="H16" s="119">
        <f t="shared" si="0"/>
        <v>8.771825562521338</v>
      </c>
      <c r="I16" s="120">
        <v>30</v>
      </c>
      <c r="J16" s="121" t="s">
        <v>21</v>
      </c>
      <c r="K16" s="122">
        <v>25</v>
      </c>
      <c r="L16" s="123"/>
      <c r="M16" s="464"/>
      <c r="N16" s="506" t="s">
        <v>22</v>
      </c>
      <c r="O16" s="475"/>
      <c r="P16"/>
      <c r="Q16"/>
      <c r="R16"/>
      <c r="S16"/>
      <c r="T16"/>
      <c r="U16"/>
    </row>
    <row r="17" spans="1:21" ht="12.75">
      <c r="A17" s="128"/>
      <c r="B17" s="698" t="s">
        <v>168</v>
      </c>
      <c r="C17" s="689"/>
      <c r="D17" s="689"/>
      <c r="E17" s="689"/>
      <c r="F17" s="689"/>
      <c r="G17" s="689"/>
      <c r="H17" s="689"/>
      <c r="I17" s="689"/>
      <c r="J17" s="689"/>
      <c r="K17" s="689"/>
      <c r="L17" s="689"/>
      <c r="M17" s="689"/>
      <c r="N17" s="689"/>
      <c r="O17" s="690"/>
      <c r="P17"/>
      <c r="Q17"/>
      <c r="R17"/>
      <c r="S17"/>
      <c r="T17"/>
      <c r="U17"/>
    </row>
    <row r="18" spans="1:21" ht="16.5" customHeight="1">
      <c r="A18" s="93" t="s">
        <v>129</v>
      </c>
      <c r="B18" s="94" t="s">
        <v>141</v>
      </c>
      <c r="C18" s="95">
        <v>38.96</v>
      </c>
      <c r="D18" s="96">
        <v>0.79</v>
      </c>
      <c r="E18" s="58" t="s">
        <v>101</v>
      </c>
      <c r="F18" s="484" t="s">
        <v>20</v>
      </c>
      <c r="G18" s="485">
        <v>0.04</v>
      </c>
      <c r="H18" s="486">
        <f t="shared" si="0"/>
        <v>21.9295639228637</v>
      </c>
      <c r="I18" s="487">
        <v>29</v>
      </c>
      <c r="J18" s="488" t="s">
        <v>27</v>
      </c>
      <c r="K18" s="489">
        <v>15.96</v>
      </c>
      <c r="L18" s="490">
        <v>0.8</v>
      </c>
      <c r="M18" s="478"/>
      <c r="N18" s="507" t="s">
        <v>22</v>
      </c>
      <c r="O18" s="479"/>
      <c r="P18"/>
      <c r="Q18"/>
      <c r="R18"/>
      <c r="S18"/>
      <c r="T18"/>
      <c r="U18"/>
    </row>
    <row r="19" spans="1:21" ht="19.5" customHeight="1">
      <c r="A19" s="82" t="s">
        <v>130</v>
      </c>
      <c r="B19" s="528" t="s">
        <v>141</v>
      </c>
      <c r="C19" s="529">
        <v>49.14</v>
      </c>
      <c r="D19" s="530">
        <v>7.95</v>
      </c>
      <c r="E19" s="531" t="s">
        <v>101</v>
      </c>
      <c r="F19" s="491" t="s">
        <v>20</v>
      </c>
      <c r="G19" s="492">
        <v>0.04</v>
      </c>
      <c r="H19" s="493">
        <f t="shared" si="0"/>
        <v>21.9295639228637</v>
      </c>
      <c r="I19" s="494">
        <v>28</v>
      </c>
      <c r="J19" s="495" t="s">
        <v>21</v>
      </c>
      <c r="K19" s="391">
        <v>32.14</v>
      </c>
      <c r="L19" s="496"/>
      <c r="M19" s="616" t="s">
        <v>285</v>
      </c>
      <c r="N19" s="508" t="s">
        <v>22</v>
      </c>
      <c r="O19" s="481"/>
      <c r="P19"/>
      <c r="Q19"/>
      <c r="R19"/>
      <c r="S19"/>
      <c r="T19"/>
      <c r="U19"/>
    </row>
    <row r="20" spans="1:21" ht="33.75">
      <c r="A20" s="82" t="s">
        <v>131</v>
      </c>
      <c r="B20" s="528" t="s">
        <v>141</v>
      </c>
      <c r="C20" s="529">
        <v>66.39</v>
      </c>
      <c r="D20" s="530">
        <v>2.65</v>
      </c>
      <c r="E20" s="531" t="s">
        <v>101</v>
      </c>
      <c r="F20" s="491" t="s">
        <v>20</v>
      </c>
      <c r="G20" s="492">
        <v>0.02</v>
      </c>
      <c r="H20" s="493">
        <f t="shared" si="0"/>
        <v>20.942570961017992</v>
      </c>
      <c r="I20" s="494">
        <v>29</v>
      </c>
      <c r="J20" s="495" t="s">
        <v>21</v>
      </c>
      <c r="K20" s="391">
        <v>49.39</v>
      </c>
      <c r="L20" s="496"/>
      <c r="M20" s="628" t="s">
        <v>286</v>
      </c>
      <c r="N20" s="508" t="s">
        <v>22</v>
      </c>
      <c r="O20" s="481"/>
      <c r="P20"/>
      <c r="Q20"/>
      <c r="R20"/>
      <c r="S20"/>
      <c r="T20"/>
      <c r="U20"/>
    </row>
    <row r="21" spans="1:21" ht="45">
      <c r="A21" s="527" t="s">
        <v>132</v>
      </c>
      <c r="B21" s="528" t="s">
        <v>142</v>
      </c>
      <c r="C21" s="529">
        <v>49.08</v>
      </c>
      <c r="D21" s="530">
        <v>8.62</v>
      </c>
      <c r="E21" s="531" t="s">
        <v>101</v>
      </c>
      <c r="F21" s="491" t="s">
        <v>20</v>
      </c>
      <c r="G21" s="492">
        <v>0.076910013</v>
      </c>
      <c r="H21" s="493">
        <f t="shared" si="0"/>
        <v>23.874814650093008</v>
      </c>
      <c r="I21" s="494">
        <v>28</v>
      </c>
      <c r="J21" s="495" t="s">
        <v>27</v>
      </c>
      <c r="K21" s="391">
        <v>31.08</v>
      </c>
      <c r="L21" s="496">
        <v>1</v>
      </c>
      <c r="M21" s="616" t="s">
        <v>287</v>
      </c>
      <c r="N21" s="503" t="s">
        <v>23</v>
      </c>
      <c r="O21" s="481" t="s">
        <v>243</v>
      </c>
      <c r="P21"/>
      <c r="Q21"/>
      <c r="R21"/>
      <c r="S21"/>
      <c r="T21"/>
      <c r="U21"/>
    </row>
    <row r="22" spans="1:21" ht="63.75">
      <c r="A22" s="527" t="s">
        <v>133</v>
      </c>
      <c r="B22" s="528" t="s">
        <v>141</v>
      </c>
      <c r="C22" s="529">
        <v>65.48</v>
      </c>
      <c r="D22" s="530">
        <v>3.5</v>
      </c>
      <c r="E22" s="531" t="s">
        <v>101</v>
      </c>
      <c r="F22" s="491" t="s">
        <v>20</v>
      </c>
      <c r="G22" s="492">
        <v>0.164119983</v>
      </c>
      <c r="H22" s="493">
        <f t="shared" si="0"/>
        <v>29.184346882510773</v>
      </c>
      <c r="I22" s="494">
        <v>28</v>
      </c>
      <c r="J22" s="495" t="s">
        <v>21</v>
      </c>
      <c r="K22" s="391">
        <v>49.48</v>
      </c>
      <c r="L22" s="496"/>
      <c r="M22" s="480"/>
      <c r="N22" s="503" t="s">
        <v>23</v>
      </c>
      <c r="O22" s="481" t="s">
        <v>244</v>
      </c>
      <c r="P22"/>
      <c r="Q22"/>
      <c r="R22"/>
      <c r="S22"/>
      <c r="T22"/>
      <c r="U22"/>
    </row>
    <row r="23" spans="1:21" ht="63.75">
      <c r="A23" s="527" t="s">
        <v>134</v>
      </c>
      <c r="B23" s="528" t="s">
        <v>141</v>
      </c>
      <c r="C23" s="529">
        <v>55.09</v>
      </c>
      <c r="D23" s="530">
        <v>0.45</v>
      </c>
      <c r="E23" s="531" t="s">
        <v>102</v>
      </c>
      <c r="F23" s="491" t="s">
        <v>20</v>
      </c>
      <c r="G23" s="492">
        <v>-0.116910013</v>
      </c>
      <c r="H23" s="493">
        <f t="shared" si="0"/>
        <v>15.279881376626426</v>
      </c>
      <c r="I23" s="494">
        <v>30</v>
      </c>
      <c r="J23" s="495" t="s">
        <v>27</v>
      </c>
      <c r="K23" s="391">
        <v>38.59</v>
      </c>
      <c r="L23" s="496">
        <v>0.4</v>
      </c>
      <c r="M23" s="480" t="s">
        <v>100</v>
      </c>
      <c r="N23" s="503" t="s">
        <v>23</v>
      </c>
      <c r="O23" s="481" t="s">
        <v>245</v>
      </c>
      <c r="P23"/>
      <c r="Q23"/>
      <c r="R23"/>
      <c r="S23"/>
      <c r="T23"/>
      <c r="U23"/>
    </row>
    <row r="24" spans="1:21" ht="12.75">
      <c r="A24" s="532" t="s">
        <v>135</v>
      </c>
      <c r="B24" s="528" t="s">
        <v>142</v>
      </c>
      <c r="C24" s="529">
        <v>30.96</v>
      </c>
      <c r="D24" s="530">
        <v>0.3</v>
      </c>
      <c r="E24" s="531" t="s">
        <v>101</v>
      </c>
      <c r="F24" s="491" t="s">
        <v>24</v>
      </c>
      <c r="G24" s="492">
        <v>-0.136910013</v>
      </c>
      <c r="H24" s="493">
        <f t="shared" si="0"/>
        <v>14.592173429965246</v>
      </c>
      <c r="I24" s="494">
        <v>30</v>
      </c>
      <c r="J24" s="495" t="s">
        <v>27</v>
      </c>
      <c r="K24" s="391">
        <v>14.96</v>
      </c>
      <c r="L24" s="496">
        <v>0.4</v>
      </c>
      <c r="M24" s="480" t="s">
        <v>105</v>
      </c>
      <c r="N24" s="508" t="s">
        <v>22</v>
      </c>
      <c r="O24" s="481"/>
      <c r="P24"/>
      <c r="Q24"/>
      <c r="R24"/>
      <c r="S24"/>
      <c r="T24"/>
      <c r="U24"/>
    </row>
    <row r="25" spans="1:21" ht="12.75">
      <c r="A25" s="532" t="s">
        <v>136</v>
      </c>
      <c r="B25" s="528" t="s">
        <v>141</v>
      </c>
      <c r="C25" s="529">
        <v>52.58</v>
      </c>
      <c r="D25" s="530">
        <v>28.3</v>
      </c>
      <c r="E25" s="531" t="s">
        <v>101</v>
      </c>
      <c r="F25" s="491" t="s">
        <v>24</v>
      </c>
      <c r="G25" s="492">
        <v>-0.167086643</v>
      </c>
      <c r="H25" s="493">
        <f t="shared" si="0"/>
        <v>13.612671135856147</v>
      </c>
      <c r="I25" s="494">
        <v>26</v>
      </c>
      <c r="J25" s="495" t="s">
        <v>21</v>
      </c>
      <c r="K25" s="391">
        <v>36.58</v>
      </c>
      <c r="L25" s="496"/>
      <c r="M25" s="478"/>
      <c r="N25" s="508" t="s">
        <v>22</v>
      </c>
      <c r="O25" s="481"/>
      <c r="P25"/>
      <c r="Q25"/>
      <c r="R25"/>
      <c r="S25"/>
      <c r="T25"/>
      <c r="U25"/>
    </row>
    <row r="26" spans="1:21" ht="63.75">
      <c r="A26" s="527" t="s">
        <v>137</v>
      </c>
      <c r="B26" s="528" t="s">
        <v>141</v>
      </c>
      <c r="C26" s="529">
        <v>46.42</v>
      </c>
      <c r="D26" s="530">
        <v>1.29</v>
      </c>
      <c r="E26" s="531" t="s">
        <v>103</v>
      </c>
      <c r="F26" s="491" t="s">
        <v>24</v>
      </c>
      <c r="G26" s="492">
        <v>-0.036910013</v>
      </c>
      <c r="H26" s="493">
        <f t="shared" si="0"/>
        <v>18.370457944290905</v>
      </c>
      <c r="I26" s="494">
        <v>28</v>
      </c>
      <c r="J26" s="495" t="s">
        <v>21</v>
      </c>
      <c r="K26" s="391">
        <v>30.42</v>
      </c>
      <c r="L26" s="496"/>
      <c r="M26" s="478"/>
      <c r="N26" s="503" t="s">
        <v>23</v>
      </c>
      <c r="O26" s="481" t="s">
        <v>246</v>
      </c>
      <c r="P26"/>
      <c r="Q26"/>
      <c r="R26"/>
      <c r="S26"/>
      <c r="T26"/>
      <c r="U26"/>
    </row>
    <row r="27" spans="1:21" ht="12.75">
      <c r="A27" s="532" t="s">
        <v>138</v>
      </c>
      <c r="B27" s="528" t="s">
        <v>141</v>
      </c>
      <c r="C27" s="529">
        <v>33.08</v>
      </c>
      <c r="D27" s="530">
        <v>4.62</v>
      </c>
      <c r="E27" s="531" t="s">
        <v>101</v>
      </c>
      <c r="F27" s="491" t="s">
        <v>24</v>
      </c>
      <c r="G27" s="492">
        <v>-0.147086643</v>
      </c>
      <c r="H27" s="493">
        <f t="shared" si="0"/>
        <v>14.254216561583437</v>
      </c>
      <c r="I27" s="494">
        <v>29</v>
      </c>
      <c r="J27" s="495" t="s">
        <v>27</v>
      </c>
      <c r="K27" s="391">
        <v>16.58</v>
      </c>
      <c r="L27" s="496">
        <v>4.3</v>
      </c>
      <c r="M27" s="478"/>
      <c r="N27" s="508" t="s">
        <v>22</v>
      </c>
      <c r="O27" s="481"/>
      <c r="P27"/>
      <c r="Q27"/>
      <c r="R27"/>
      <c r="S27"/>
      <c r="T27"/>
      <c r="U27"/>
    </row>
    <row r="28" spans="1:21" ht="63.75">
      <c r="A28" s="527" t="s">
        <v>139</v>
      </c>
      <c r="B28" s="528" t="s">
        <v>141</v>
      </c>
      <c r="C28" s="529">
        <v>72.41</v>
      </c>
      <c r="D28" s="530">
        <v>6.64</v>
      </c>
      <c r="E28" s="531" t="s">
        <v>101</v>
      </c>
      <c r="F28" s="491" t="s">
        <v>24</v>
      </c>
      <c r="G28" s="492">
        <v>0</v>
      </c>
      <c r="H28" s="493">
        <f t="shared" si="0"/>
        <v>20</v>
      </c>
      <c r="I28" s="494">
        <v>28</v>
      </c>
      <c r="J28" s="495" t="s">
        <v>27</v>
      </c>
      <c r="K28" s="391">
        <v>56.41</v>
      </c>
      <c r="L28" s="496">
        <v>6.8</v>
      </c>
      <c r="M28" s="480" t="s">
        <v>104</v>
      </c>
      <c r="N28" s="503" t="s">
        <v>23</v>
      </c>
      <c r="O28" s="481" t="s">
        <v>247</v>
      </c>
      <c r="P28"/>
      <c r="Q28"/>
      <c r="R28"/>
      <c r="S28"/>
      <c r="T28"/>
      <c r="U28"/>
    </row>
    <row r="29" spans="1:21" ht="12.75" customHeight="1" thickBot="1">
      <c r="A29" s="533" t="s">
        <v>140</v>
      </c>
      <c r="B29" s="534" t="s">
        <v>142</v>
      </c>
      <c r="C29" s="535">
        <v>42.03</v>
      </c>
      <c r="D29" s="536">
        <v>3.53</v>
      </c>
      <c r="E29" s="537" t="s">
        <v>101</v>
      </c>
      <c r="F29" s="497" t="s">
        <v>24</v>
      </c>
      <c r="G29" s="498">
        <v>-0.096910013</v>
      </c>
      <c r="H29" s="499">
        <f t="shared" si="0"/>
        <v>16.000000000296808</v>
      </c>
      <c r="I29" s="500">
        <v>28</v>
      </c>
      <c r="J29" s="501" t="s">
        <v>21</v>
      </c>
      <c r="K29" s="397">
        <v>26.03</v>
      </c>
      <c r="L29" s="502"/>
      <c r="M29" s="482"/>
      <c r="N29" s="509" t="s">
        <v>22</v>
      </c>
      <c r="O29" s="483"/>
      <c r="P29"/>
      <c r="Q29"/>
      <c r="R29"/>
      <c r="S29"/>
      <c r="T29"/>
      <c r="U29"/>
    </row>
    <row r="30" spans="1:21" ht="12.75" customHeight="1">
      <c r="A30" s="683" t="s">
        <v>181</v>
      </c>
      <c r="B30" s="54" t="s">
        <v>163</v>
      </c>
      <c r="C30" s="103"/>
      <c r="D30" s="124"/>
      <c r="E30" s="125" t="s">
        <v>170</v>
      </c>
      <c r="F30" s="126">
        <f>MIN(D18:D22,D24:D25,D27:D29)</f>
        <v>0.3</v>
      </c>
      <c r="G30" s="104"/>
      <c r="H30" s="55"/>
      <c r="I30" s="55"/>
      <c r="J30" s="55"/>
      <c r="K30" s="23"/>
      <c r="L30" s="23"/>
      <c r="M30" s="23"/>
      <c r="N30" s="23"/>
      <c r="O30" s="23"/>
      <c r="P30"/>
      <c r="Q30"/>
      <c r="R30"/>
      <c r="S30"/>
      <c r="T30"/>
      <c r="U30"/>
    </row>
    <row r="31" spans="1:21" ht="12.75" customHeight="1" thickBot="1">
      <c r="A31" s="684"/>
      <c r="B31" s="53" t="s">
        <v>164</v>
      </c>
      <c r="C31" s="19"/>
      <c r="D31" s="109"/>
      <c r="E31" s="110" t="s">
        <v>171</v>
      </c>
      <c r="F31" s="108">
        <f>MAX(D18:D22,D24:D25,D27:D29)</f>
        <v>28.3</v>
      </c>
      <c r="G31" s="105"/>
      <c r="H31" s="9"/>
      <c r="I31" s="629"/>
      <c r="J31" s="9"/>
      <c r="M31" s="702" t="s">
        <v>288</v>
      </c>
      <c r="N31" s="703"/>
      <c r="O31" s="704"/>
      <c r="P31"/>
      <c r="Q31"/>
      <c r="R31"/>
      <c r="S31"/>
      <c r="T31"/>
      <c r="U31"/>
    </row>
    <row r="32" spans="1:21" ht="13.5" thickBot="1">
      <c r="A32" s="23"/>
      <c r="C32" s="22"/>
      <c r="D32" s="106"/>
      <c r="E32" s="106"/>
      <c r="F32" s="107"/>
      <c r="G32" s="9"/>
      <c r="H32" s="9"/>
      <c r="I32" s="9"/>
      <c r="J32" s="9"/>
      <c r="M32" s="705"/>
      <c r="N32" s="706"/>
      <c r="O32" s="693"/>
      <c r="P32"/>
      <c r="Q32"/>
      <c r="R32"/>
      <c r="S32"/>
      <c r="T32"/>
      <c r="U32"/>
    </row>
    <row r="33" spans="1:21" ht="26.25" customHeight="1" thickBot="1">
      <c r="A33" s="19"/>
      <c r="B33" s="717" t="s">
        <v>289</v>
      </c>
      <c r="C33" s="718"/>
      <c r="D33" s="718"/>
      <c r="E33" s="718"/>
      <c r="F33" s="719"/>
      <c r="G33" s="24"/>
      <c r="H33" s="12"/>
      <c r="I33" s="12"/>
      <c r="J33" s="12"/>
      <c r="L33" s="10"/>
      <c r="O33" s="9"/>
      <c r="P33"/>
      <c r="Q33"/>
      <c r="R33"/>
      <c r="S33"/>
      <c r="T33"/>
      <c r="U33"/>
    </row>
    <row r="34" spans="1:21" ht="12.75">
      <c r="A34" s="19"/>
      <c r="B34" s="51"/>
      <c r="C34" s="715" t="s">
        <v>159</v>
      </c>
      <c r="D34" s="716"/>
      <c r="E34" s="713" t="s">
        <v>181</v>
      </c>
      <c r="F34" s="714"/>
      <c r="G34"/>
      <c r="H34" s="12"/>
      <c r="I34"/>
      <c r="J34"/>
      <c r="K34"/>
      <c r="L34"/>
      <c r="M34"/>
      <c r="N34"/>
      <c r="O34" s="12"/>
      <c r="P34"/>
      <c r="Q34"/>
      <c r="R34"/>
      <c r="S34"/>
      <c r="T34"/>
      <c r="U34"/>
    </row>
    <row r="35" spans="1:16" ht="12.75">
      <c r="A35" s="19"/>
      <c r="B35" s="27"/>
      <c r="C35" s="138" t="s">
        <v>25</v>
      </c>
      <c r="D35" s="139" t="s">
        <v>19</v>
      </c>
      <c r="E35" s="136" t="s">
        <v>25</v>
      </c>
      <c r="F35" s="137" t="s">
        <v>19</v>
      </c>
      <c r="G35"/>
      <c r="H35" s="12"/>
      <c r="I35"/>
      <c r="J35"/>
      <c r="K35"/>
      <c r="L35"/>
      <c r="M35"/>
      <c r="N35"/>
      <c r="O35" s="12"/>
      <c r="P35" s="12"/>
    </row>
    <row r="36" spans="1:16" ht="12.75">
      <c r="A36" s="28"/>
      <c r="B36" s="60" t="s">
        <v>151</v>
      </c>
      <c r="C36" s="63">
        <f>COUNTA(A18:A29)</f>
        <v>12</v>
      </c>
      <c r="D36" s="64">
        <f>COUNTA(A5:A16)</f>
        <v>12</v>
      </c>
      <c r="E36" s="65">
        <f>COUNTA(A18:A20,A24:A25,A27,A29)</f>
        <v>7</v>
      </c>
      <c r="F36" s="66">
        <f>COUNTA(A5:A7,A11:A12,A14,A16)</f>
        <v>7</v>
      </c>
      <c r="G36" s="24"/>
      <c r="H36" s="12"/>
      <c r="I36"/>
      <c r="J36"/>
      <c r="K36"/>
      <c r="L36"/>
      <c r="M36"/>
      <c r="N36"/>
      <c r="O36" s="12"/>
      <c r="P36" s="12"/>
    </row>
    <row r="37" spans="1:16" ht="12.75">
      <c r="A37" s="28"/>
      <c r="B37" s="523" t="s">
        <v>165</v>
      </c>
      <c r="C37" s="47"/>
      <c r="D37" s="61"/>
      <c r="E37" s="47"/>
      <c r="F37" s="62"/>
      <c r="G37" s="24"/>
      <c r="H37" s="12"/>
      <c r="I37"/>
      <c r="J37"/>
      <c r="K37"/>
      <c r="L37"/>
      <c r="M37"/>
      <c r="N37"/>
      <c r="O37" s="12"/>
      <c r="P37" s="12"/>
    </row>
    <row r="38" spans="1:16" s="131" customFormat="1" ht="15.75" customHeight="1">
      <c r="A38" s="604"/>
      <c r="B38" s="605" t="s">
        <v>160</v>
      </c>
      <c r="C38" s="606">
        <f>COUNTIF(J18:J29,"yes")</f>
        <v>6</v>
      </c>
      <c r="D38" s="607">
        <f>COUNTIF(J5:J16,"yes")</f>
        <v>12</v>
      </c>
      <c r="E38" s="368">
        <f>COUNTA(J19:J20,J25,J29)</f>
        <v>4</v>
      </c>
      <c r="F38" s="608">
        <f>COUNTA(J5:J7,J11:J12,J14,J16)</f>
        <v>7</v>
      </c>
      <c r="G38" s="609"/>
      <c r="H38" s="610"/>
      <c r="I38" s="130"/>
      <c r="J38" s="130"/>
      <c r="K38" s="130"/>
      <c r="L38" s="130"/>
      <c r="M38" s="130"/>
      <c r="N38" s="130"/>
      <c r="O38" s="610"/>
      <c r="P38" s="610"/>
    </row>
    <row r="39" spans="1:16" ht="12.75">
      <c r="A39" s="28"/>
      <c r="B39" s="37" t="s">
        <v>150</v>
      </c>
      <c r="C39" s="70">
        <f>C38/$C36</f>
        <v>0.5</v>
      </c>
      <c r="D39" s="71">
        <f>D38/$C36</f>
        <v>1</v>
      </c>
      <c r="E39" s="72">
        <f>E38/$E36</f>
        <v>0.5714285714285714</v>
      </c>
      <c r="F39" s="71">
        <f>F38/$F36</f>
        <v>1</v>
      </c>
      <c r="G39" s="24"/>
      <c r="H39" s="12"/>
      <c r="I39"/>
      <c r="J39"/>
      <c r="K39"/>
      <c r="L39"/>
      <c r="M39"/>
      <c r="N39"/>
      <c r="O39" s="12"/>
      <c r="P39" s="12"/>
    </row>
    <row r="40" spans="1:16" ht="15.75" customHeight="1">
      <c r="A40" s="28"/>
      <c r="B40" s="49" t="s">
        <v>30</v>
      </c>
      <c r="C40" s="67"/>
      <c r="D40" s="68"/>
      <c r="E40" s="69"/>
      <c r="F40" s="68"/>
      <c r="G40" s="24"/>
      <c r="H40" s="12"/>
      <c r="I40"/>
      <c r="J40"/>
      <c r="K40"/>
      <c r="L40"/>
      <c r="M40"/>
      <c r="N40"/>
      <c r="O40" s="12"/>
      <c r="P40" s="12"/>
    </row>
    <row r="41" spans="1:16" ht="12.75">
      <c r="A41" s="28"/>
      <c r="B41" s="37" t="s">
        <v>166</v>
      </c>
      <c r="C41" s="30">
        <f>COUNTIF(B18:B29,"m")</f>
        <v>9</v>
      </c>
      <c r="D41" s="32">
        <f>COUNTIF(B5:B16,"m")</f>
        <v>9</v>
      </c>
      <c r="E41" s="43">
        <f>COUNTA(B18:B20,B25,B27)</f>
        <v>5</v>
      </c>
      <c r="F41" s="32">
        <f>COUNTA(B5:B7,B12,B14)</f>
        <v>5</v>
      </c>
      <c r="G41" s="24"/>
      <c r="H41" s="12"/>
      <c r="I41"/>
      <c r="J41"/>
      <c r="K41"/>
      <c r="L41"/>
      <c r="M41"/>
      <c r="N41"/>
      <c r="O41" s="12"/>
      <c r="P41" s="12"/>
    </row>
    <row r="42" spans="1:16" ht="12.75">
      <c r="A42" s="28"/>
      <c r="B42" s="37" t="s">
        <v>150</v>
      </c>
      <c r="C42" s="70">
        <f>C41/$C36</f>
        <v>0.75</v>
      </c>
      <c r="D42" s="71">
        <f>D41/$D36</f>
        <v>0.75</v>
      </c>
      <c r="E42" s="72">
        <f>E41/$E36</f>
        <v>0.7142857142857143</v>
      </c>
      <c r="F42" s="71">
        <f>F41/$F36</f>
        <v>0.7142857142857143</v>
      </c>
      <c r="G42" s="24"/>
      <c r="H42" s="12"/>
      <c r="I42"/>
      <c r="J42"/>
      <c r="K42"/>
      <c r="L42"/>
      <c r="M42"/>
      <c r="N42"/>
      <c r="O42" s="12"/>
      <c r="P42" s="12"/>
    </row>
    <row r="43" spans="1:16" ht="12.75">
      <c r="A43" s="28"/>
      <c r="B43" s="524" t="s">
        <v>152</v>
      </c>
      <c r="C43" s="23"/>
      <c r="D43" s="46"/>
      <c r="E43" s="47"/>
      <c r="F43" s="73"/>
      <c r="G43" s="24"/>
      <c r="H43" s="12"/>
      <c r="I43"/>
      <c r="J43"/>
      <c r="K43"/>
      <c r="L43"/>
      <c r="M43"/>
      <c r="N43"/>
      <c r="O43" s="12"/>
      <c r="P43" s="12"/>
    </row>
    <row r="44" spans="1:16" ht="12.75">
      <c r="A44" s="19"/>
      <c r="B44" s="37" t="s">
        <v>153</v>
      </c>
      <c r="C44" s="20">
        <f>AVERAGE(C18:C29)</f>
        <v>50.13499999999999</v>
      </c>
      <c r="D44" s="31">
        <f>AVERAGE(C5:C16)</f>
        <v>51.30083333333334</v>
      </c>
      <c r="E44" s="43">
        <f>AVERAGE(C18:C20,C24:C25,C27,C29)</f>
        <v>44.73428571428571</v>
      </c>
      <c r="F44" s="31">
        <f>AVERAGE(C5:C7,C11:C12,C14,C16)</f>
        <v>46.612857142857145</v>
      </c>
      <c r="G44" s="24"/>
      <c r="H44" s="12"/>
      <c r="I44"/>
      <c r="J44"/>
      <c r="K44"/>
      <c r="L44"/>
      <c r="M44"/>
      <c r="N44"/>
      <c r="O44" s="12"/>
      <c r="P44" s="12"/>
    </row>
    <row r="45" spans="1:16" ht="12.75">
      <c r="A45" s="19"/>
      <c r="B45" s="38" t="s">
        <v>144</v>
      </c>
      <c r="C45" s="29">
        <f>STDEV(C18:C29)</f>
        <v>13.112898923648405</v>
      </c>
      <c r="D45" s="31">
        <f>STDEV(C5:C16)</f>
        <v>13.221676732020791</v>
      </c>
      <c r="E45" s="43">
        <f>STDEV(C18:C20,C24:C25,C27,C29)</f>
        <v>12.356808996315717</v>
      </c>
      <c r="F45" s="31">
        <f>STDEV(C5:C7,C11:C12,C14,C16)</f>
        <v>13.245343476464628</v>
      </c>
      <c r="G45" s="24"/>
      <c r="H45" s="12"/>
      <c r="I45"/>
      <c r="J45"/>
      <c r="K45"/>
      <c r="L45"/>
      <c r="M45"/>
      <c r="N45"/>
      <c r="O45" s="12"/>
      <c r="P45" s="12"/>
    </row>
    <row r="46" spans="1:16" ht="12.75">
      <c r="A46" s="19"/>
      <c r="B46" s="38" t="s">
        <v>145</v>
      </c>
      <c r="C46" s="29">
        <f>MIN(C18:C29)</f>
        <v>30.96</v>
      </c>
      <c r="D46" s="31">
        <f>MIN(C5:C16)</f>
        <v>33.3</v>
      </c>
      <c r="E46" s="43">
        <f>MIN(C18:C20,C24:C25,C27,C29)</f>
        <v>30.96</v>
      </c>
      <c r="F46" s="31">
        <f>MIN(C5:C7,C11:C12,C14,C16)</f>
        <v>33.3</v>
      </c>
      <c r="G46" s="24"/>
      <c r="H46" s="12"/>
      <c r="I46"/>
      <c r="J46"/>
      <c r="K46"/>
      <c r="L46"/>
      <c r="M46"/>
      <c r="N46"/>
      <c r="O46" s="12"/>
      <c r="P46" s="12"/>
    </row>
    <row r="47" spans="1:16" ht="12.75">
      <c r="A47" s="19"/>
      <c r="B47" s="38" t="s">
        <v>146</v>
      </c>
      <c r="C47" s="74">
        <f>MAX(C18:C29)</f>
        <v>72.41</v>
      </c>
      <c r="D47" s="75">
        <f>MAX(C5:C16)</f>
        <v>70.14</v>
      </c>
      <c r="E47" s="76">
        <f>MAX(C18:C20,C24:C25,C27,C29)</f>
        <v>66.39</v>
      </c>
      <c r="F47" s="75">
        <f>MAX(C5:C7,C11:C12,C14,C16)</f>
        <v>66.86</v>
      </c>
      <c r="G47" s="24"/>
      <c r="H47" s="12"/>
      <c r="I47"/>
      <c r="J47"/>
      <c r="K47"/>
      <c r="L47"/>
      <c r="M47"/>
      <c r="N47"/>
      <c r="O47" s="12"/>
      <c r="P47" s="12"/>
    </row>
    <row r="48" spans="1:16" ht="12.75">
      <c r="A48" s="19"/>
      <c r="B48" s="48" t="s">
        <v>154</v>
      </c>
      <c r="C48" s="25"/>
      <c r="D48" s="44"/>
      <c r="E48" s="47"/>
      <c r="F48" s="73"/>
      <c r="G48" s="24"/>
      <c r="H48" s="12"/>
      <c r="I48"/>
      <c r="J48"/>
      <c r="K48"/>
      <c r="L48"/>
      <c r="M48"/>
      <c r="N48"/>
      <c r="O48" s="12"/>
      <c r="P48" s="12"/>
    </row>
    <row r="49" spans="1:16" ht="12.75">
      <c r="A49" s="19"/>
      <c r="B49" s="39" t="s">
        <v>153</v>
      </c>
      <c r="C49" s="26">
        <f>AVERAGE(I18:I29)</f>
        <v>28.416666666666668</v>
      </c>
      <c r="D49" s="45">
        <f>AVERAGE(I5:I16)</f>
        <v>28.25</v>
      </c>
      <c r="E49" s="43">
        <f>AVERAGE(I18:I20,I24:I25,I29)</f>
        <v>28.333333333333332</v>
      </c>
      <c r="F49" s="32">
        <f>AVERAGE(I5:I7,I11:I12,I14,I16)</f>
        <v>27.714285714285715</v>
      </c>
      <c r="G49" s="24"/>
      <c r="H49" s="12"/>
      <c r="I49"/>
      <c r="J49"/>
      <c r="K49"/>
      <c r="L49"/>
      <c r="M49"/>
      <c r="N49"/>
      <c r="O49" s="12"/>
      <c r="P49" s="12"/>
    </row>
    <row r="50" spans="1:16" ht="12.75">
      <c r="A50" s="19"/>
      <c r="B50" s="40" t="s">
        <v>144</v>
      </c>
      <c r="C50" s="26">
        <f>STDEV(I18:I29)</f>
        <v>1.0836246694508063</v>
      </c>
      <c r="D50" s="45">
        <f>STDEV(I5:I16)</f>
        <v>1.815338686155987</v>
      </c>
      <c r="E50" s="43">
        <f>STDEV(I18:I20,I24:I25,I29)</f>
        <v>1.3662601021279244</v>
      </c>
      <c r="F50" s="32">
        <f>STDEV(I5:I7,I11:I12,I14,I16)</f>
        <v>2.058663459163556</v>
      </c>
      <c r="G50" s="24"/>
      <c r="H50" s="12"/>
      <c r="I50"/>
      <c r="J50"/>
      <c r="K50"/>
      <c r="L50"/>
      <c r="M50"/>
      <c r="N50"/>
      <c r="O50" s="12"/>
      <c r="P50" s="12"/>
    </row>
    <row r="51" spans="1:16" ht="12.75">
      <c r="A51" s="19"/>
      <c r="B51" s="40" t="s">
        <v>145</v>
      </c>
      <c r="C51" s="26">
        <f>MIN(I18:I29)</f>
        <v>26</v>
      </c>
      <c r="D51" s="45">
        <f>MIN(I5:I16)</f>
        <v>25</v>
      </c>
      <c r="E51" s="43">
        <f>MIN(I18:I20,I24:I25,I29)</f>
        <v>26</v>
      </c>
      <c r="F51" s="32">
        <f>MIN(I5:I7,I11:I12,I14,I16)</f>
        <v>25</v>
      </c>
      <c r="G51" s="24"/>
      <c r="H51" s="12"/>
      <c r="I51"/>
      <c r="J51"/>
      <c r="K51"/>
      <c r="L51"/>
      <c r="M51"/>
      <c r="N51"/>
      <c r="O51" s="12"/>
      <c r="P51" s="12"/>
    </row>
    <row r="52" spans="1:16" ht="12.75">
      <c r="A52" s="19"/>
      <c r="B52" s="40" t="s">
        <v>146</v>
      </c>
      <c r="C52" s="77">
        <f>MAX(I18:I29)</f>
        <v>30</v>
      </c>
      <c r="D52" s="78">
        <f>MAX(I5:I16)</f>
        <v>30</v>
      </c>
      <c r="E52" s="76">
        <f>MAX(I18:I20,I24:I25,I29)</f>
        <v>30</v>
      </c>
      <c r="F52" s="79">
        <f>MAX(I5:I7,I11:I12,I14,I16)</f>
        <v>30</v>
      </c>
      <c r="G52" s="24"/>
      <c r="H52" s="12"/>
      <c r="I52"/>
      <c r="J52"/>
      <c r="K52"/>
      <c r="L52"/>
      <c r="M52"/>
      <c r="N52"/>
      <c r="O52" s="12"/>
      <c r="P52" s="12"/>
    </row>
    <row r="53" spans="1:16" ht="53.25" customHeight="1">
      <c r="A53" s="19"/>
      <c r="B53" s="50" t="s">
        <v>295</v>
      </c>
      <c r="C53" s="25"/>
      <c r="D53" s="44"/>
      <c r="E53" s="47"/>
      <c r="F53" s="73"/>
      <c r="G53" s="24"/>
      <c r="H53" s="12"/>
      <c r="I53"/>
      <c r="J53"/>
      <c r="K53"/>
      <c r="L53"/>
      <c r="M53"/>
      <c r="N53"/>
      <c r="O53" s="12"/>
      <c r="P53" s="12"/>
    </row>
    <row r="54" spans="1:16" ht="12.75">
      <c r="A54" s="19"/>
      <c r="B54" s="39" t="s">
        <v>153</v>
      </c>
      <c r="C54" s="578">
        <f>AVERAGE(H18:H29)</f>
        <v>19.164188398997343</v>
      </c>
      <c r="D54" s="579">
        <f>AVERAGE(H5:H16)</f>
        <v>14.032623454958973</v>
      </c>
      <c r="E54" s="580">
        <f>AVERAGE(H18:H20,H24:H25,H27,H29)</f>
        <v>17.608679990635288</v>
      </c>
      <c r="F54" s="33">
        <f>AVERAGE(H5:H7,H11:H12,H14,H16)</f>
        <v>13.471774767166028</v>
      </c>
      <c r="G54" s="24"/>
      <c r="H54" s="12"/>
      <c r="I54"/>
      <c r="J54"/>
      <c r="K54"/>
      <c r="L54"/>
      <c r="M54"/>
      <c r="N54"/>
      <c r="O54" s="12"/>
      <c r="P54" s="12"/>
    </row>
    <row r="55" spans="1:16" ht="12.75">
      <c r="A55" s="19"/>
      <c r="B55" s="40" t="s">
        <v>145</v>
      </c>
      <c r="C55" s="578">
        <f>MIN(H18:H29)</f>
        <v>13.612671135856147</v>
      </c>
      <c r="D55" s="579">
        <f>MIN(H5:H16)</f>
        <v>8.771825562521338</v>
      </c>
      <c r="E55" s="580">
        <f>MIN(H18:H20,H24:H25,H27,H29)</f>
        <v>13.612671135856147</v>
      </c>
      <c r="F55" s="33">
        <f>MIN(H5:H7,H11:H12,H14,H16)</f>
        <v>8.771825562521338</v>
      </c>
      <c r="G55" s="24"/>
      <c r="H55" s="12"/>
      <c r="I55"/>
      <c r="J55"/>
      <c r="K55"/>
      <c r="L55"/>
      <c r="M55"/>
      <c r="N55"/>
      <c r="O55" s="12"/>
      <c r="P55" s="12"/>
    </row>
    <row r="56" spans="1:16" ht="12.75">
      <c r="A56" s="19"/>
      <c r="B56" s="40" t="s">
        <v>146</v>
      </c>
      <c r="C56" s="581">
        <f>MAX(H18:H29)</f>
        <v>29.184346882510773</v>
      </c>
      <c r="D56" s="582">
        <f>MAX(H5:H16)</f>
        <v>20</v>
      </c>
      <c r="E56" s="583">
        <f>MAX(H18:H20,H24:H25,H27,H29)</f>
        <v>21.9295639228637</v>
      </c>
      <c r="F56" s="80">
        <f>MAX(H5:H7,H11:H12,H14,H16)</f>
        <v>20</v>
      </c>
      <c r="G56" s="24"/>
      <c r="H56" s="12"/>
      <c r="I56"/>
      <c r="J56"/>
      <c r="K56"/>
      <c r="L56"/>
      <c r="M56"/>
      <c r="N56"/>
      <c r="O56" s="12"/>
      <c r="P56" s="12"/>
    </row>
    <row r="57" spans="1:16" ht="28.5" customHeight="1">
      <c r="A57" s="19"/>
      <c r="B57" s="50" t="s">
        <v>155</v>
      </c>
      <c r="C57" s="25"/>
      <c r="D57" s="44"/>
      <c r="E57" s="47"/>
      <c r="F57" s="73"/>
      <c r="G57" s="24"/>
      <c r="H57" s="12"/>
      <c r="I57"/>
      <c r="J57"/>
      <c r="K57"/>
      <c r="L57"/>
      <c r="M57"/>
      <c r="N57"/>
      <c r="O57" s="12"/>
      <c r="P57" s="12"/>
    </row>
    <row r="58" spans="1:16" ht="12.75">
      <c r="A58" s="19"/>
      <c r="B58" s="37" t="s">
        <v>160</v>
      </c>
      <c r="C58" s="23">
        <f>COUNTIF(F18:F29,"right")</f>
        <v>6</v>
      </c>
      <c r="D58" s="46" t="s">
        <v>158</v>
      </c>
      <c r="E58" s="21">
        <f>COUNTA(F24:F25,F27,F29)</f>
        <v>4</v>
      </c>
      <c r="F58" s="34" t="s">
        <v>158</v>
      </c>
      <c r="G58" s="24"/>
      <c r="H58" s="12"/>
      <c r="I58"/>
      <c r="J58"/>
      <c r="K58"/>
      <c r="L58"/>
      <c r="M58"/>
      <c r="N58"/>
      <c r="O58" s="12"/>
      <c r="P58" s="12"/>
    </row>
    <row r="59" spans="1:16" ht="12.75">
      <c r="A59" s="19"/>
      <c r="B59" s="37" t="s">
        <v>150</v>
      </c>
      <c r="C59" s="70">
        <f>C58/$C36</f>
        <v>0.5</v>
      </c>
      <c r="D59" s="64"/>
      <c r="E59" s="72">
        <f>E58/$E36</f>
        <v>0.5714285714285714</v>
      </c>
      <c r="F59" s="81"/>
      <c r="G59" s="24"/>
      <c r="H59" s="12"/>
      <c r="I59"/>
      <c r="J59"/>
      <c r="K59"/>
      <c r="L59"/>
      <c r="M59"/>
      <c r="N59"/>
      <c r="O59" s="12"/>
      <c r="P59" s="12"/>
    </row>
    <row r="60" spans="1:16" ht="25.5">
      <c r="A60" s="19"/>
      <c r="B60" s="49" t="s">
        <v>156</v>
      </c>
      <c r="C60" s="23"/>
      <c r="D60" s="46"/>
      <c r="E60" s="47"/>
      <c r="F60" s="73"/>
      <c r="G60" s="24"/>
      <c r="H60" s="12"/>
      <c r="I60" s="12"/>
      <c r="J60" s="12"/>
      <c r="L60" s="13"/>
      <c r="M60" s="13"/>
      <c r="O60" s="12"/>
      <c r="P60" s="12"/>
    </row>
    <row r="61" spans="1:16" ht="12.75">
      <c r="A61" s="19"/>
      <c r="B61" s="37" t="s">
        <v>160</v>
      </c>
      <c r="C61" s="584">
        <f>COUNTIF(E18:E29,"stroke")</f>
        <v>10</v>
      </c>
      <c r="D61" s="585" t="s">
        <v>158</v>
      </c>
      <c r="E61" s="584">
        <f>COUNTA(E18:E20,E24:E25,E27,E29)</f>
        <v>7</v>
      </c>
      <c r="F61" s="586" t="s">
        <v>158</v>
      </c>
      <c r="G61" s="24"/>
      <c r="H61" s="12"/>
      <c r="I61" s="12"/>
      <c r="J61" s="12"/>
      <c r="L61" s="13"/>
      <c r="M61" s="13"/>
      <c r="O61" s="12"/>
      <c r="P61" s="12"/>
    </row>
    <row r="62" spans="1:16" ht="12.75">
      <c r="A62" s="19"/>
      <c r="B62" s="37" t="s">
        <v>150</v>
      </c>
      <c r="C62" s="70">
        <f>C61/$C36</f>
        <v>0.8333333333333334</v>
      </c>
      <c r="D62" s="64"/>
      <c r="E62" s="72">
        <f>E61/$E36</f>
        <v>1</v>
      </c>
      <c r="F62" s="81"/>
      <c r="G62" s="24"/>
      <c r="H62" s="12"/>
      <c r="I62" s="12"/>
      <c r="J62" s="12"/>
      <c r="L62" s="13"/>
      <c r="M62" s="13"/>
      <c r="O62" s="12"/>
      <c r="P62" s="12"/>
    </row>
    <row r="63" spans="1:13" ht="41.25" customHeight="1">
      <c r="A63" s="19"/>
      <c r="B63" s="49" t="s">
        <v>157</v>
      </c>
      <c r="C63" s="23"/>
      <c r="D63" s="46"/>
      <c r="E63" s="47"/>
      <c r="F63" s="46"/>
      <c r="G63" s="21"/>
      <c r="M63" s="13"/>
    </row>
    <row r="64" spans="1:7" ht="13.5" thickBot="1">
      <c r="A64" s="19"/>
      <c r="B64" s="41" t="s">
        <v>43</v>
      </c>
      <c r="C64" s="525">
        <f>MEDIAN(D18:D29)</f>
        <v>3.5149999999999997</v>
      </c>
      <c r="D64" s="36" t="s">
        <v>158</v>
      </c>
      <c r="E64" s="526">
        <f>MEDIAN(D18:D20,D24:D25,D27,D29)</f>
        <v>3.53</v>
      </c>
      <c r="F64" s="36" t="s">
        <v>158</v>
      </c>
      <c r="G64" s="21"/>
    </row>
    <row r="65" spans="1:7" ht="12.75">
      <c r="A65" s="19"/>
      <c r="B65" s="52" t="s">
        <v>262</v>
      </c>
      <c r="C65" s="675"/>
      <c r="D65" s="229"/>
      <c r="E65" s="229"/>
      <c r="F65" s="229"/>
      <c r="G65"/>
    </row>
    <row r="66" spans="3:6" ht="12.75">
      <c r="C66" s="676"/>
      <c r="D66" s="23"/>
      <c r="E66" s="23"/>
      <c r="F66" s="23"/>
    </row>
    <row r="67" ht="12.75">
      <c r="B67" s="52"/>
    </row>
  </sheetData>
  <mergeCells count="15">
    <mergeCell ref="E34:F34"/>
    <mergeCell ref="C34:D34"/>
    <mergeCell ref="B33:F33"/>
    <mergeCell ref="B1:C2"/>
    <mergeCell ref="D1:F2"/>
    <mergeCell ref="A30:A31"/>
    <mergeCell ref="A1:A2"/>
    <mergeCell ref="G1:H2"/>
    <mergeCell ref="I1:I3"/>
    <mergeCell ref="M31:O32"/>
    <mergeCell ref="N1:O2"/>
    <mergeCell ref="B4:O4"/>
    <mergeCell ref="B17:O17"/>
    <mergeCell ref="M1:M3"/>
    <mergeCell ref="J1:L2"/>
  </mergeCells>
  <printOptions/>
  <pageMargins left="0.75" right="0.75" top="1" bottom="1" header="0" footer="0"/>
  <pageSetup fitToHeight="0" fitToWidth="0" horizontalDpi="600" verticalDpi="600" orientation="landscape" r:id="rId3"/>
  <ignoredErrors>
    <ignoredError sqref="C44:D52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6"/>
  <sheetViews>
    <sheetView zoomScale="75" zoomScaleNormal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Q39" sqref="Q39"/>
    </sheetView>
  </sheetViews>
  <sheetFormatPr defaultColWidth="9.140625" defaultRowHeight="12.75"/>
  <cols>
    <col min="1" max="1" width="13.421875" style="8" customWidth="1"/>
    <col min="2" max="2" width="11.8515625" style="8" customWidth="1"/>
    <col min="3" max="3" width="9.00390625" style="8" customWidth="1"/>
    <col min="4" max="4" width="11.7109375" style="8" customWidth="1"/>
    <col min="5" max="5" width="12.8515625" style="8" customWidth="1"/>
    <col min="6" max="6" width="15.00390625" style="8" customWidth="1"/>
    <col min="7" max="7" width="15.140625" style="8" customWidth="1"/>
    <col min="8" max="8" width="13.28125" style="8" customWidth="1"/>
    <col min="9" max="9" width="14.8515625" style="8" customWidth="1"/>
    <col min="10" max="10" width="12.8515625" style="8" customWidth="1"/>
    <col min="11" max="11" width="13.140625" style="8" customWidth="1"/>
    <col min="12" max="12" width="13.00390625" style="8" customWidth="1"/>
    <col min="13" max="13" width="13.7109375" style="8" customWidth="1"/>
    <col min="14" max="17" width="9.00390625" style="8" customWidth="1"/>
    <col min="18" max="16384" width="9.00390625" style="0" customWidth="1"/>
  </cols>
  <sheetData>
    <row r="1" spans="1:14" ht="42" customHeight="1">
      <c r="A1" s="685" t="str">
        <f>IF('Demog &amp; vision'!A1="","",'Demog &amp; vision'!A1)</f>
        <v>Simulator-driving with hemianopia:
1. Detection performance</v>
      </c>
      <c r="B1" s="736" t="s">
        <v>185</v>
      </c>
      <c r="C1" s="736"/>
      <c r="D1" s="736"/>
      <c r="E1" s="735" t="s">
        <v>183</v>
      </c>
      <c r="F1" s="735"/>
      <c r="G1" s="735"/>
      <c r="H1" s="735"/>
      <c r="I1" s="735"/>
      <c r="J1" s="737" t="s">
        <v>276</v>
      </c>
      <c r="K1" s="737"/>
      <c r="L1" s="737"/>
      <c r="M1" s="737"/>
      <c r="N1" s="21"/>
    </row>
    <row r="2" spans="1:17" s="130" customFormat="1" ht="33" customHeight="1">
      <c r="A2" s="733"/>
      <c r="B2" s="734" t="s">
        <v>31</v>
      </c>
      <c r="C2" s="721" t="s">
        <v>172</v>
      </c>
      <c r="D2" s="721"/>
      <c r="E2" s="738" t="s">
        <v>178</v>
      </c>
      <c r="F2" s="738"/>
      <c r="G2" s="688" t="s">
        <v>179</v>
      </c>
      <c r="H2" s="688"/>
      <c r="I2" s="175" t="s">
        <v>74</v>
      </c>
      <c r="J2" s="738" t="s">
        <v>178</v>
      </c>
      <c r="K2" s="738"/>
      <c r="L2" s="688" t="s">
        <v>179</v>
      </c>
      <c r="M2" s="688"/>
      <c r="N2"/>
      <c r="O2"/>
      <c r="P2"/>
      <c r="Q2"/>
    </row>
    <row r="3" spans="1:22" ht="63.75" customHeight="1">
      <c r="A3" s="170" t="str">
        <f>IF('Demog &amp; vision'!A3="","",'Demog &amp; vision'!A3)</f>
        <v>Subject ID</v>
      </c>
      <c r="B3" s="734"/>
      <c r="C3" s="14" t="s">
        <v>173</v>
      </c>
      <c r="D3" s="14" t="s">
        <v>174</v>
      </c>
      <c r="E3" s="174" t="s">
        <v>176</v>
      </c>
      <c r="F3" s="174" t="s">
        <v>177</v>
      </c>
      <c r="G3" s="176" t="s">
        <v>176</v>
      </c>
      <c r="H3" s="176" t="s">
        <v>177</v>
      </c>
      <c r="I3" s="174" t="s">
        <v>180</v>
      </c>
      <c r="J3" s="174" t="s">
        <v>176</v>
      </c>
      <c r="K3" s="174" t="s">
        <v>177</v>
      </c>
      <c r="L3" s="176" t="s">
        <v>176</v>
      </c>
      <c r="M3" s="176" t="s">
        <v>177</v>
      </c>
      <c r="N3"/>
      <c r="O3"/>
      <c r="P3"/>
      <c r="Q3"/>
      <c r="U3" s="6"/>
      <c r="V3" s="6"/>
    </row>
    <row r="4" spans="1:22" ht="12.75">
      <c r="A4" s="185"/>
      <c r="B4" s="188" t="s">
        <v>175</v>
      </c>
      <c r="C4" s="106"/>
      <c r="D4" s="106" t="s">
        <v>175</v>
      </c>
      <c r="E4" s="171" t="s">
        <v>70</v>
      </c>
      <c r="F4" s="172" t="s">
        <v>71</v>
      </c>
      <c r="G4" s="171" t="s">
        <v>72</v>
      </c>
      <c r="H4" s="172" t="s">
        <v>73</v>
      </c>
      <c r="I4" s="677" t="s">
        <v>16</v>
      </c>
      <c r="J4" s="173" t="s">
        <v>1</v>
      </c>
      <c r="K4" s="172" t="s">
        <v>5</v>
      </c>
      <c r="L4" s="172" t="s">
        <v>9</v>
      </c>
      <c r="M4" s="73" t="s">
        <v>13</v>
      </c>
      <c r="N4"/>
      <c r="O4"/>
      <c r="P4"/>
      <c r="Q4"/>
      <c r="U4" s="6"/>
      <c r="V4" s="6"/>
    </row>
    <row r="5" spans="1:22" ht="12.75">
      <c r="A5" s="190"/>
      <c r="B5" s="191"/>
      <c r="C5" s="192"/>
      <c r="D5" s="193"/>
      <c r="E5" s="698" t="s">
        <v>167</v>
      </c>
      <c r="F5" s="689"/>
      <c r="G5" s="689"/>
      <c r="H5" s="689"/>
      <c r="I5" s="689"/>
      <c r="J5" s="689"/>
      <c r="K5" s="689"/>
      <c r="L5" s="689"/>
      <c r="M5" s="690"/>
      <c r="N5"/>
      <c r="O5"/>
      <c r="P5"/>
      <c r="Q5"/>
      <c r="U5" s="6"/>
      <c r="V5" s="6"/>
    </row>
    <row r="6" spans="1:22" ht="12.75">
      <c r="A6" s="189" t="str">
        <f>IF('Demog &amp; vision'!A5="","",'Demog &amp; vision'!A5)</f>
        <v>NV1</v>
      </c>
      <c r="B6" s="214" t="str">
        <f>IF('Demog &amp; vision'!F5="","",'Demog &amp; vision'!F5)</f>
        <v>"Left"</v>
      </c>
      <c r="C6" s="215" t="s">
        <v>19</v>
      </c>
      <c r="D6" s="215" t="s">
        <v>19</v>
      </c>
      <c r="E6" s="213">
        <v>100</v>
      </c>
      <c r="F6" s="617">
        <v>100</v>
      </c>
      <c r="G6" s="213">
        <v>100</v>
      </c>
      <c r="H6" s="617">
        <v>93.93939393939394</v>
      </c>
      <c r="I6" s="148"/>
      <c r="J6" s="151">
        <v>0.733295</v>
      </c>
      <c r="K6" s="158">
        <v>0.7333069999999999</v>
      </c>
      <c r="L6" s="158">
        <v>0.666672</v>
      </c>
      <c r="M6" s="159">
        <v>0.733337</v>
      </c>
      <c r="N6"/>
      <c r="O6"/>
      <c r="P6"/>
      <c r="Q6"/>
      <c r="U6" s="6"/>
      <c r="V6" s="6"/>
    </row>
    <row r="7" spans="1:22" ht="12.75">
      <c r="A7" s="167" t="str">
        <f>IF('Demog &amp; vision'!A6="","",'Demog &amp; vision'!A6)</f>
        <v>NV2</v>
      </c>
      <c r="B7" s="216" t="str">
        <f>IF('Demog &amp; vision'!F6="","",'Demog &amp; vision'!F6)</f>
        <v>"Left"</v>
      </c>
      <c r="C7" s="217" t="s">
        <v>19</v>
      </c>
      <c r="D7" s="217" t="s">
        <v>19</v>
      </c>
      <c r="E7" s="213">
        <v>100</v>
      </c>
      <c r="F7" s="617">
        <v>100</v>
      </c>
      <c r="G7" s="213">
        <v>100</v>
      </c>
      <c r="H7" s="617">
        <v>93.93939393939394</v>
      </c>
      <c r="I7" s="148"/>
      <c r="J7" s="149">
        <v>0.666656</v>
      </c>
      <c r="K7" s="158">
        <v>0.683319</v>
      </c>
      <c r="L7" s="158">
        <v>0.633323</v>
      </c>
      <c r="M7" s="159">
        <v>0.799987</v>
      </c>
      <c r="N7"/>
      <c r="O7"/>
      <c r="P7"/>
      <c r="Q7"/>
      <c r="U7" s="6"/>
      <c r="V7" s="6"/>
    </row>
    <row r="8" spans="1:22" ht="12.75">
      <c r="A8" s="167" t="str">
        <f>IF('Demog &amp; vision'!A7="","",'Demog &amp; vision'!A7)</f>
        <v>NV3</v>
      </c>
      <c r="B8" s="216" t="str">
        <f>IF('Demog &amp; vision'!F7="","",'Demog &amp; vision'!F7)</f>
        <v>"Left"</v>
      </c>
      <c r="C8" s="217" t="s">
        <v>19</v>
      </c>
      <c r="D8" s="217" t="s">
        <v>19</v>
      </c>
      <c r="E8" s="213">
        <v>100</v>
      </c>
      <c r="F8" s="617">
        <v>97.05882352941177</v>
      </c>
      <c r="G8" s="213">
        <v>100</v>
      </c>
      <c r="H8" s="617">
        <v>93.93939393939394</v>
      </c>
      <c r="I8" s="148"/>
      <c r="J8" s="149">
        <v>0.8499909999999999</v>
      </c>
      <c r="K8" s="158">
        <v>0.799988</v>
      </c>
      <c r="L8" s="158">
        <v>0.766663</v>
      </c>
      <c r="M8" s="159">
        <v>0.733337</v>
      </c>
      <c r="N8"/>
      <c r="O8"/>
      <c r="P8"/>
      <c r="Q8"/>
      <c r="U8" s="6"/>
      <c r="V8" s="6"/>
    </row>
    <row r="9" spans="1:22" ht="12.75">
      <c r="A9" s="166" t="str">
        <f>IF('Demog &amp; vision'!A8="","",'Demog &amp; vision'!A8)</f>
        <v>NV4</v>
      </c>
      <c r="B9" s="169" t="str">
        <f>IF('Demog &amp; vision'!F8="","",'Demog &amp; vision'!F8)</f>
        <v>"Left"</v>
      </c>
      <c r="C9" s="155" t="s">
        <v>19</v>
      </c>
      <c r="D9" s="155" t="s">
        <v>19</v>
      </c>
      <c r="E9" s="156">
        <v>100</v>
      </c>
      <c r="F9" s="618">
        <v>100</v>
      </c>
      <c r="G9" s="156">
        <v>100</v>
      </c>
      <c r="H9" s="618">
        <v>97.05882352941177</v>
      </c>
      <c r="I9" s="148"/>
      <c r="J9" s="88">
        <v>0.999985</v>
      </c>
      <c r="K9" s="160">
        <v>1.099999</v>
      </c>
      <c r="L9" s="160">
        <v>1.0999970000000001</v>
      </c>
      <c r="M9" s="161">
        <v>1.083313</v>
      </c>
      <c r="N9"/>
      <c r="O9"/>
      <c r="P9"/>
      <c r="Q9"/>
      <c r="U9" s="6"/>
      <c r="V9" s="6"/>
    </row>
    <row r="10" spans="1:22" ht="12.75">
      <c r="A10" s="166" t="str">
        <f>IF('Demog &amp; vision'!A9="","",'Demog &amp; vision'!A9)</f>
        <v>NV5</v>
      </c>
      <c r="B10" s="169" t="str">
        <f>IF('Demog &amp; vision'!F9="","",'Demog &amp; vision'!F9)</f>
        <v>"Left"</v>
      </c>
      <c r="C10" s="155" t="s">
        <v>19</v>
      </c>
      <c r="D10" s="155" t="s">
        <v>19</v>
      </c>
      <c r="E10" s="156">
        <v>100</v>
      </c>
      <c r="F10" s="618">
        <v>100</v>
      </c>
      <c r="G10" s="156">
        <v>100</v>
      </c>
      <c r="H10" s="618">
        <v>94.11764705882354</v>
      </c>
      <c r="I10" s="148"/>
      <c r="J10" s="88">
        <v>0.899902</v>
      </c>
      <c r="K10" s="160">
        <v>0.933306</v>
      </c>
      <c r="L10" s="160">
        <v>0.98333</v>
      </c>
      <c r="M10" s="161">
        <v>0.9666524999999999</v>
      </c>
      <c r="N10"/>
      <c r="O10"/>
      <c r="P10"/>
      <c r="Q10"/>
      <c r="U10" s="6"/>
      <c r="V10" s="6"/>
    </row>
    <row r="11" spans="1:22" ht="12.75">
      <c r="A11" s="166" t="str">
        <f>IF('Demog &amp; vision'!A10="","",'Demog &amp; vision'!A10)</f>
        <v>NV6</v>
      </c>
      <c r="B11" s="169" t="str">
        <f>IF('Demog &amp; vision'!F10="","",'Demog &amp; vision'!F10)</f>
        <v>"Left"</v>
      </c>
      <c r="C11" s="155" t="s">
        <v>19</v>
      </c>
      <c r="D11" s="155" t="s">
        <v>19</v>
      </c>
      <c r="E11" s="156">
        <v>97.14285714285714</v>
      </c>
      <c r="F11" s="618">
        <v>97.05882352941177</v>
      </c>
      <c r="G11" s="156">
        <v>100</v>
      </c>
      <c r="H11" s="618">
        <v>91.17647058823529</v>
      </c>
      <c r="I11" s="148"/>
      <c r="J11" s="88">
        <v>0.999985</v>
      </c>
      <c r="K11" s="160">
        <v>1.133332</v>
      </c>
      <c r="L11" s="160">
        <v>1.049988</v>
      </c>
      <c r="M11" s="161">
        <v>1.1666414999999999</v>
      </c>
      <c r="N11"/>
      <c r="O11"/>
      <c r="P11"/>
      <c r="Q11"/>
      <c r="U11" s="6"/>
      <c r="V11" s="6"/>
    </row>
    <row r="12" spans="1:22" ht="12.75">
      <c r="A12" s="167" t="str">
        <f>IF('Demog &amp; vision'!A11="","",'Demog &amp; vision'!A11)</f>
        <v>NV7</v>
      </c>
      <c r="B12" s="216" t="str">
        <f>IF('Demog &amp; vision'!F11="","",'Demog &amp; vision'!F11)</f>
        <v>"Right"</v>
      </c>
      <c r="C12" s="217" t="s">
        <v>19</v>
      </c>
      <c r="D12" s="217" t="s">
        <v>19</v>
      </c>
      <c r="E12" s="213">
        <v>100</v>
      </c>
      <c r="F12" s="617">
        <v>100</v>
      </c>
      <c r="G12" s="213">
        <v>100</v>
      </c>
      <c r="H12" s="617">
        <v>100</v>
      </c>
      <c r="I12" s="148"/>
      <c r="J12" s="149">
        <v>0.6499935</v>
      </c>
      <c r="K12" s="158">
        <v>0.7833325</v>
      </c>
      <c r="L12" s="158">
        <v>0.733337</v>
      </c>
      <c r="M12" s="159">
        <v>0.666656</v>
      </c>
      <c r="N12"/>
      <c r="O12"/>
      <c r="P12"/>
      <c r="Q12"/>
      <c r="U12" s="6"/>
      <c r="V12" s="6"/>
    </row>
    <row r="13" spans="1:22" ht="12.75">
      <c r="A13" s="167" t="str">
        <f>IF('Demog &amp; vision'!A12="","",'Demog &amp; vision'!A12)</f>
        <v>NV8</v>
      </c>
      <c r="B13" s="216" t="str">
        <f>IF('Demog &amp; vision'!F12="","",'Demog &amp; vision'!F12)</f>
        <v>"Right"</v>
      </c>
      <c r="C13" s="217" t="s">
        <v>19</v>
      </c>
      <c r="D13" s="217" t="s">
        <v>19</v>
      </c>
      <c r="E13" s="213">
        <v>100</v>
      </c>
      <c r="F13" s="617">
        <v>88.88888888888889</v>
      </c>
      <c r="G13" s="213">
        <v>100</v>
      </c>
      <c r="H13" s="617">
        <v>97.14285714285714</v>
      </c>
      <c r="I13" s="148"/>
      <c r="J13" s="149">
        <v>0.6833195000000001</v>
      </c>
      <c r="K13" s="158">
        <v>0.7333375</v>
      </c>
      <c r="L13" s="158">
        <v>0.666657</v>
      </c>
      <c r="M13" s="159">
        <v>0.733338</v>
      </c>
      <c r="N13"/>
      <c r="O13"/>
      <c r="P13"/>
      <c r="Q13"/>
      <c r="U13" s="6"/>
      <c r="V13" s="6"/>
    </row>
    <row r="14" spans="1:22" ht="12.75">
      <c r="A14" s="166" t="str">
        <f>IF('Demog &amp; vision'!A13="","",'Demog &amp; vision'!A13)</f>
        <v>NV9</v>
      </c>
      <c r="B14" s="169" t="str">
        <f>IF('Demog &amp; vision'!F13="","",'Demog &amp; vision'!F13)</f>
        <v>"Right"</v>
      </c>
      <c r="C14" s="155" t="s">
        <v>19</v>
      </c>
      <c r="D14" s="155" t="s">
        <v>19</v>
      </c>
      <c r="E14" s="156">
        <v>100</v>
      </c>
      <c r="F14" s="618">
        <v>97.22222222222223</v>
      </c>
      <c r="G14" s="156">
        <v>100</v>
      </c>
      <c r="H14" s="618">
        <v>97.05882352941177</v>
      </c>
      <c r="I14" s="148"/>
      <c r="J14" s="88">
        <v>0.6833195000000001</v>
      </c>
      <c r="K14" s="160">
        <v>0.683319</v>
      </c>
      <c r="L14" s="160">
        <v>0.616661</v>
      </c>
      <c r="M14" s="161">
        <v>0.6333275</v>
      </c>
      <c r="N14"/>
      <c r="O14"/>
      <c r="P14"/>
      <c r="Q14"/>
      <c r="U14" s="6"/>
      <c r="V14" s="6"/>
    </row>
    <row r="15" spans="1:22" ht="12.75">
      <c r="A15" s="167" t="str">
        <f>IF('Demog &amp; vision'!A14="","",'Demog &amp; vision'!A14)</f>
        <v>NV10</v>
      </c>
      <c r="B15" s="216" t="str">
        <f>IF('Demog &amp; vision'!F14="","",'Demog &amp; vision'!F14)</f>
        <v>"Right"</v>
      </c>
      <c r="C15" s="217" t="s">
        <v>19</v>
      </c>
      <c r="D15" s="217" t="s">
        <v>19</v>
      </c>
      <c r="E15" s="213">
        <v>100</v>
      </c>
      <c r="F15" s="617">
        <v>100</v>
      </c>
      <c r="G15" s="213">
        <v>100</v>
      </c>
      <c r="H15" s="617">
        <v>97.22222222222223</v>
      </c>
      <c r="I15" s="148"/>
      <c r="J15" s="149">
        <v>0.599976</v>
      </c>
      <c r="K15" s="158">
        <v>0.666657</v>
      </c>
      <c r="L15" s="158">
        <v>0.566666</v>
      </c>
      <c r="M15" s="159">
        <v>0.599991</v>
      </c>
      <c r="N15"/>
      <c r="O15"/>
      <c r="P15"/>
      <c r="Q15"/>
      <c r="U15" s="6"/>
      <c r="V15" s="6"/>
    </row>
    <row r="16" spans="1:22" ht="12.75">
      <c r="A16" s="166" t="str">
        <f>IF('Demog &amp; vision'!A15="","",'Demog &amp; vision'!A15)</f>
        <v>NV11</v>
      </c>
      <c r="B16" s="169" t="str">
        <f>IF('Demog &amp; vision'!F15="","",'Demog &amp; vision'!F15)</f>
        <v>"Right"</v>
      </c>
      <c r="C16" s="155" t="s">
        <v>19</v>
      </c>
      <c r="D16" s="155" t="s">
        <v>19</v>
      </c>
      <c r="E16" s="156">
        <v>100</v>
      </c>
      <c r="F16" s="618">
        <v>91.42857142857143</v>
      </c>
      <c r="G16" s="156">
        <v>100</v>
      </c>
      <c r="H16" s="618">
        <v>97.22222222222223</v>
      </c>
      <c r="I16" s="148"/>
      <c r="J16" s="88">
        <v>0.833329</v>
      </c>
      <c r="K16" s="160">
        <v>0.833344</v>
      </c>
      <c r="L16" s="160">
        <v>0.700012</v>
      </c>
      <c r="M16" s="161">
        <v>0.899978</v>
      </c>
      <c r="N16"/>
      <c r="O16"/>
      <c r="P16"/>
      <c r="Q16"/>
      <c r="U16" s="6"/>
      <c r="V16" s="6"/>
    </row>
    <row r="17" spans="1:22" ht="12.75">
      <c r="A17" s="168" t="str">
        <f>IF('Demog &amp; vision'!A16="","",'Demog &amp; vision'!A16)</f>
        <v>NV12</v>
      </c>
      <c r="B17" s="218" t="str">
        <f>IF('Demog &amp; vision'!F16="","",'Demog &amp; vision'!F16)</f>
        <v>"Right"</v>
      </c>
      <c r="C17" s="219" t="s">
        <v>19</v>
      </c>
      <c r="D17" s="219" t="s">
        <v>19</v>
      </c>
      <c r="E17" s="213">
        <v>100</v>
      </c>
      <c r="F17" s="617">
        <v>100</v>
      </c>
      <c r="G17" s="213">
        <v>100</v>
      </c>
      <c r="H17" s="617">
        <v>97.22222222222223</v>
      </c>
      <c r="I17" s="148"/>
      <c r="J17" s="150">
        <v>0.666657</v>
      </c>
      <c r="K17" s="158">
        <v>0.733307</v>
      </c>
      <c r="L17" s="158">
        <v>0.633301</v>
      </c>
      <c r="M17" s="159">
        <v>0.666672</v>
      </c>
      <c r="N17"/>
      <c r="O17"/>
      <c r="P17"/>
      <c r="Q17"/>
      <c r="U17" s="6"/>
      <c r="V17" s="6"/>
    </row>
    <row r="18" spans="1:22" ht="12.75">
      <c r="A18" s="190">
        <f>IF('Demog &amp; vision'!A17="","",'Demog &amp; vision'!A17)</f>
      </c>
      <c r="B18" s="191">
        <f>IF('Demog &amp; vision'!F17="","",'Demog &amp; vision'!F17)</f>
      </c>
      <c r="C18" s="192"/>
      <c r="D18" s="193"/>
      <c r="E18" s="698" t="s">
        <v>168</v>
      </c>
      <c r="F18" s="689"/>
      <c r="G18" s="689"/>
      <c r="H18" s="689"/>
      <c r="I18" s="689"/>
      <c r="J18" s="689"/>
      <c r="K18" s="689"/>
      <c r="L18" s="689"/>
      <c r="M18" s="690"/>
      <c r="N18"/>
      <c r="O18"/>
      <c r="P18"/>
      <c r="Q18"/>
      <c r="U18" s="6"/>
      <c r="V18" s="6"/>
    </row>
    <row r="19" spans="1:22" ht="12.75">
      <c r="A19" s="189" t="str">
        <f>IF('Demog &amp; vision'!A18="","",'Demog &amp; vision'!A18)</f>
        <v>HH1</v>
      </c>
      <c r="B19" s="214" t="str">
        <f>IF('Demog &amp; vision'!F18="","",'Demog &amp; vision'!F18)</f>
        <v>Left</v>
      </c>
      <c r="C19" s="215" t="s">
        <v>25</v>
      </c>
      <c r="D19" s="215" t="s">
        <v>26</v>
      </c>
      <c r="E19" s="213">
        <v>69.6969696969697</v>
      </c>
      <c r="F19" s="617">
        <v>40</v>
      </c>
      <c r="G19" s="213">
        <v>100</v>
      </c>
      <c r="H19" s="617">
        <v>93.93939393939394</v>
      </c>
      <c r="I19" s="678" t="s">
        <v>28</v>
      </c>
      <c r="J19" s="151">
        <v>1.0166629999999999</v>
      </c>
      <c r="K19" s="158">
        <v>1.9499665</v>
      </c>
      <c r="L19" s="158">
        <v>0.766663</v>
      </c>
      <c r="M19" s="159">
        <v>1</v>
      </c>
      <c r="N19"/>
      <c r="O19"/>
      <c r="P19"/>
      <c r="Q19"/>
      <c r="U19" s="6"/>
      <c r="V19" s="6"/>
    </row>
    <row r="20" spans="1:22" ht="12.75">
      <c r="A20" s="167" t="str">
        <f>IF('Demog &amp; vision'!A19="","",'Demog &amp; vision'!A19)</f>
        <v>HH2</v>
      </c>
      <c r="B20" s="216" t="str">
        <f>IF('Demog &amp; vision'!F19="","",'Demog &amp; vision'!F19)</f>
        <v>Left</v>
      </c>
      <c r="C20" s="217" t="s">
        <v>25</v>
      </c>
      <c r="D20" s="217" t="s">
        <v>26</v>
      </c>
      <c r="E20" s="213">
        <v>61.76470588235294</v>
      </c>
      <c r="F20" s="617">
        <v>29.41176470588235</v>
      </c>
      <c r="G20" s="213">
        <v>100</v>
      </c>
      <c r="H20" s="617">
        <v>100</v>
      </c>
      <c r="I20" s="678" t="s">
        <v>28</v>
      </c>
      <c r="J20" s="149">
        <v>1.499969</v>
      </c>
      <c r="K20" s="158">
        <v>1.899964</v>
      </c>
      <c r="L20" s="158">
        <v>0.700012</v>
      </c>
      <c r="M20" s="159">
        <v>0.833329</v>
      </c>
      <c r="N20"/>
      <c r="O20"/>
      <c r="P20"/>
      <c r="Q20"/>
      <c r="U20" s="6"/>
      <c r="V20" s="6"/>
    </row>
    <row r="21" spans="1:22" ht="12.75">
      <c r="A21" s="167" t="str">
        <f>IF('Demog &amp; vision'!A20="","",'Demog &amp; vision'!A20)</f>
        <v>HH3</v>
      </c>
      <c r="B21" s="216" t="str">
        <f>IF('Demog &amp; vision'!F20="","",'Demog &amp; vision'!F20)</f>
        <v>Left</v>
      </c>
      <c r="C21" s="217" t="s">
        <v>25</v>
      </c>
      <c r="D21" s="217" t="s">
        <v>26</v>
      </c>
      <c r="E21" s="213">
        <v>54.54545454545455</v>
      </c>
      <c r="F21" s="617">
        <v>20</v>
      </c>
      <c r="G21" s="213">
        <v>100</v>
      </c>
      <c r="H21" s="617">
        <v>79.41176470588235</v>
      </c>
      <c r="I21" s="678" t="s">
        <v>28</v>
      </c>
      <c r="J21" s="149">
        <v>0.98333</v>
      </c>
      <c r="K21" s="158">
        <v>2.133301</v>
      </c>
      <c r="L21" s="158">
        <v>0.766663</v>
      </c>
      <c r="M21" s="159">
        <v>0.8166505</v>
      </c>
      <c r="N21"/>
      <c r="O21"/>
      <c r="P21"/>
      <c r="Q21"/>
      <c r="U21" s="6"/>
      <c r="V21" s="6"/>
    </row>
    <row r="22" spans="1:22" ht="12.75">
      <c r="A22" s="166" t="str">
        <f>IF('Demog &amp; vision'!A21="","",'Demog &amp; vision'!A21)</f>
        <v>HH4</v>
      </c>
      <c r="B22" s="169" t="str">
        <f>IF('Demog &amp; vision'!F21="","",'Demog &amp; vision'!F21)</f>
        <v>Left</v>
      </c>
      <c r="C22" s="155" t="s">
        <v>25</v>
      </c>
      <c r="D22" s="155" t="s">
        <v>26</v>
      </c>
      <c r="E22" s="156">
        <v>68.57142857142857</v>
      </c>
      <c r="F22" s="618">
        <v>14.705882352941176</v>
      </c>
      <c r="G22" s="156">
        <v>100</v>
      </c>
      <c r="H22" s="618">
        <v>79.41176470588235</v>
      </c>
      <c r="I22" s="678" t="s">
        <v>28</v>
      </c>
      <c r="J22" s="88">
        <v>1.6666485</v>
      </c>
      <c r="K22" s="160">
        <v>3.349968</v>
      </c>
      <c r="L22" s="160">
        <v>1.633301</v>
      </c>
      <c r="M22" s="161">
        <v>1.900024</v>
      </c>
      <c r="N22"/>
      <c r="O22"/>
      <c r="P22"/>
      <c r="Q22"/>
      <c r="U22" s="6"/>
      <c r="V22" s="6"/>
    </row>
    <row r="23" spans="1:22" ht="12.75">
      <c r="A23" s="166" t="str">
        <f>IF('Demog &amp; vision'!A22="","",'Demog &amp; vision'!A22)</f>
        <v>HH5</v>
      </c>
      <c r="B23" s="169" t="str">
        <f>IF('Demog &amp; vision'!F22="","",'Demog &amp; vision'!F22)</f>
        <v>Left</v>
      </c>
      <c r="C23" s="155" t="s">
        <v>25</v>
      </c>
      <c r="D23" s="155" t="s">
        <v>26</v>
      </c>
      <c r="E23" s="156">
        <v>60</v>
      </c>
      <c r="F23" s="618">
        <v>8.823529411764707</v>
      </c>
      <c r="G23" s="156">
        <v>100</v>
      </c>
      <c r="H23" s="618">
        <v>85.29411764705883</v>
      </c>
      <c r="I23" s="678" t="s">
        <v>28</v>
      </c>
      <c r="J23" s="88">
        <v>1.799927</v>
      </c>
      <c r="K23" s="160"/>
      <c r="L23" s="160">
        <v>1.233338</v>
      </c>
      <c r="M23" s="161">
        <v>1.599976</v>
      </c>
      <c r="N23"/>
      <c r="O23"/>
      <c r="P23"/>
      <c r="Q23"/>
      <c r="U23" s="6"/>
      <c r="V23" s="6"/>
    </row>
    <row r="24" spans="1:22" ht="13.5" thickBot="1">
      <c r="A24" s="166" t="str">
        <f>IF('Demog &amp; vision'!A23="","",'Demog &amp; vision'!A23)</f>
        <v>HH6</v>
      </c>
      <c r="B24" s="169" t="str">
        <f>IF('Demog &amp; vision'!F23="","",'Demog &amp; vision'!F23)</f>
        <v>Left</v>
      </c>
      <c r="C24" s="155" t="s">
        <v>25</v>
      </c>
      <c r="D24" s="155" t="s">
        <v>26</v>
      </c>
      <c r="E24" s="197">
        <v>42.857142857142854</v>
      </c>
      <c r="F24" s="619">
        <v>5.882352941176471</v>
      </c>
      <c r="G24" s="156">
        <v>100</v>
      </c>
      <c r="H24" s="618">
        <v>94.11764705882354</v>
      </c>
      <c r="I24" s="678" t="s">
        <v>28</v>
      </c>
      <c r="J24" s="88">
        <v>0.699997</v>
      </c>
      <c r="K24" s="160"/>
      <c r="L24" s="160">
        <v>0.6833195000000001</v>
      </c>
      <c r="M24" s="161">
        <v>1.033325</v>
      </c>
      <c r="N24"/>
      <c r="O24"/>
      <c r="P24"/>
      <c r="Q24"/>
      <c r="U24" s="6"/>
      <c r="V24" s="6"/>
    </row>
    <row r="25" spans="1:22" ht="13.5" thickBot="1">
      <c r="A25" s="167" t="str">
        <f>IF('Demog &amp; vision'!A24="","",'Demog &amp; vision'!A24)</f>
        <v>HH7</v>
      </c>
      <c r="B25" s="216" t="str">
        <f>IF('Demog &amp; vision'!F24="","",'Demog &amp; vision'!F24)</f>
        <v>Right</v>
      </c>
      <c r="C25" s="217" t="s">
        <v>25</v>
      </c>
      <c r="D25" s="220" t="s">
        <v>29</v>
      </c>
      <c r="E25" s="221">
        <v>100</v>
      </c>
      <c r="F25" s="620">
        <v>86.11111111111111</v>
      </c>
      <c r="G25" s="222">
        <v>100</v>
      </c>
      <c r="H25" s="617">
        <v>100</v>
      </c>
      <c r="I25" s="678" t="s">
        <v>75</v>
      </c>
      <c r="J25" s="149">
        <v>0.9499815</v>
      </c>
      <c r="K25" s="158">
        <v>1.3499905</v>
      </c>
      <c r="L25" s="158">
        <v>0.899993</v>
      </c>
      <c r="M25" s="159">
        <v>0.999984</v>
      </c>
      <c r="N25"/>
      <c r="O25"/>
      <c r="P25"/>
      <c r="Q25"/>
      <c r="U25" s="6"/>
      <c r="V25" s="6"/>
    </row>
    <row r="26" spans="1:22" ht="12.75">
      <c r="A26" s="167" t="str">
        <f>IF('Demog &amp; vision'!A25="","",'Demog &amp; vision'!A25)</f>
        <v>HH8</v>
      </c>
      <c r="B26" s="216" t="str">
        <f>IF('Demog &amp; vision'!F25="","",'Demog &amp; vision'!F25)</f>
        <v>Right</v>
      </c>
      <c r="C26" s="217" t="s">
        <v>25</v>
      </c>
      <c r="D26" s="217" t="s">
        <v>29</v>
      </c>
      <c r="E26" s="223">
        <v>86.11111111111111</v>
      </c>
      <c r="F26" s="621">
        <v>52.77777777777778</v>
      </c>
      <c r="G26" s="213">
        <v>100</v>
      </c>
      <c r="H26" s="617">
        <v>82.85714285714286</v>
      </c>
      <c r="I26" s="678" t="s">
        <v>75</v>
      </c>
      <c r="J26" s="149">
        <v>1.533325</v>
      </c>
      <c r="K26" s="158">
        <v>1.333313</v>
      </c>
      <c r="L26" s="158">
        <v>0.799987</v>
      </c>
      <c r="M26" s="159">
        <v>0.933334</v>
      </c>
      <c r="N26"/>
      <c r="O26"/>
      <c r="P26"/>
      <c r="Q26"/>
      <c r="U26" s="6"/>
      <c r="V26" s="6"/>
    </row>
    <row r="27" spans="1:22" ht="12.75">
      <c r="A27" s="166" t="str">
        <f>IF('Demog &amp; vision'!A26="","",'Demog &amp; vision'!A26)</f>
        <v>HH9</v>
      </c>
      <c r="B27" s="169" t="str">
        <f>IF('Demog &amp; vision'!F26="","",'Demog &amp; vision'!F26)</f>
        <v>Right</v>
      </c>
      <c r="C27" s="155" t="s">
        <v>25</v>
      </c>
      <c r="D27" s="155" t="s">
        <v>29</v>
      </c>
      <c r="E27" s="156">
        <v>37.142857142857146</v>
      </c>
      <c r="F27" s="618">
        <v>8.108108108108109</v>
      </c>
      <c r="G27" s="156">
        <v>100</v>
      </c>
      <c r="H27" s="618">
        <v>97.05882352941177</v>
      </c>
      <c r="I27" s="678" t="s">
        <v>28</v>
      </c>
      <c r="J27" s="88">
        <v>1.5499885</v>
      </c>
      <c r="K27" s="160"/>
      <c r="L27" s="160">
        <v>1.0499955</v>
      </c>
      <c r="M27" s="161">
        <v>1.0166595</v>
      </c>
      <c r="N27"/>
      <c r="O27"/>
      <c r="P27"/>
      <c r="Q27"/>
      <c r="U27" s="6"/>
      <c r="V27" s="6"/>
    </row>
    <row r="28" spans="1:22" ht="12.75">
      <c r="A28" s="167" t="str">
        <f>IF('Demog &amp; vision'!A27="","",'Demog &amp; vision'!A27)</f>
        <v>HH10</v>
      </c>
      <c r="B28" s="216" t="str">
        <f>IF('Demog &amp; vision'!F27="","",'Demog &amp; vision'!F27)</f>
        <v>Right</v>
      </c>
      <c r="C28" s="217" t="s">
        <v>25</v>
      </c>
      <c r="D28" s="217" t="s">
        <v>29</v>
      </c>
      <c r="E28" s="213">
        <v>80</v>
      </c>
      <c r="F28" s="617">
        <v>40</v>
      </c>
      <c r="G28" s="213">
        <v>100</v>
      </c>
      <c r="H28" s="617">
        <v>97.22222222222223</v>
      </c>
      <c r="I28" s="678" t="s">
        <v>75</v>
      </c>
      <c r="J28" s="149">
        <v>1.283321</v>
      </c>
      <c r="K28" s="158">
        <v>1.666641</v>
      </c>
      <c r="L28" s="158">
        <v>0.766663</v>
      </c>
      <c r="M28" s="159">
        <v>0.899994</v>
      </c>
      <c r="N28"/>
      <c r="O28"/>
      <c r="P28"/>
      <c r="Q28"/>
      <c r="U28" s="6"/>
      <c r="V28" s="6"/>
    </row>
    <row r="29" spans="1:22" ht="12.75">
      <c r="A29" s="166" t="str">
        <f>IF('Demog &amp; vision'!A28="","",'Demog &amp; vision'!A28)</f>
        <v>HH11</v>
      </c>
      <c r="B29" s="169" t="str">
        <f>IF('Demog &amp; vision'!F28="","",'Demog &amp; vision'!F28)</f>
        <v>Right</v>
      </c>
      <c r="C29" s="155" t="s">
        <v>25</v>
      </c>
      <c r="D29" s="155" t="s">
        <v>29</v>
      </c>
      <c r="E29" s="156">
        <v>32.25806451612903</v>
      </c>
      <c r="F29" s="618">
        <v>6.0606060606060606</v>
      </c>
      <c r="G29" s="156">
        <v>100</v>
      </c>
      <c r="H29" s="618">
        <v>94.28571428571429</v>
      </c>
      <c r="I29" s="678" t="s">
        <v>28</v>
      </c>
      <c r="J29" s="88">
        <v>1.999981</v>
      </c>
      <c r="K29" s="160"/>
      <c r="L29" s="160">
        <v>1.56665</v>
      </c>
      <c r="M29" s="161">
        <v>1.599976</v>
      </c>
      <c r="N29"/>
      <c r="O29"/>
      <c r="P29"/>
      <c r="Q29"/>
      <c r="U29" s="6"/>
      <c r="V29" s="6"/>
    </row>
    <row r="30" spans="1:17" ht="13.5" thickBot="1">
      <c r="A30" s="168" t="str">
        <f>IF('Demog &amp; vision'!A29="","",'Demog &amp; vision'!A29)</f>
        <v>HH12</v>
      </c>
      <c r="B30" s="224" t="str">
        <f>IF('Demog &amp; vision'!F29="","",'Demog &amp; vision'!F29)</f>
        <v>Right</v>
      </c>
      <c r="C30" s="225" t="s">
        <v>25</v>
      </c>
      <c r="D30" s="225" t="s">
        <v>29</v>
      </c>
      <c r="E30" s="226">
        <v>91.17647058823529</v>
      </c>
      <c r="F30" s="622">
        <v>47.22222222222222</v>
      </c>
      <c r="G30" s="226">
        <v>96.96969696969697</v>
      </c>
      <c r="H30" s="622">
        <v>100</v>
      </c>
      <c r="I30" s="679" t="s">
        <v>75</v>
      </c>
      <c r="J30" s="162">
        <v>1.5333100000000002</v>
      </c>
      <c r="K30" s="163">
        <v>2.3499755</v>
      </c>
      <c r="L30" s="163">
        <v>0.99997</v>
      </c>
      <c r="M30" s="164">
        <v>0.8833234999999999</v>
      </c>
      <c r="N30"/>
      <c r="O30"/>
      <c r="P30"/>
      <c r="Q30"/>
    </row>
    <row r="31" spans="1:15" s="143" customFormat="1" ht="12.75" customHeight="1" thickBot="1">
      <c r="A31" s="731" t="str">
        <f>IF('Demog &amp; vision'!A30="","",'Demog &amp; vision'!A30)</f>
        <v>Response time subset</v>
      </c>
      <c r="B31" s="165"/>
      <c r="C31" s="153"/>
      <c r="D31" s="153"/>
      <c r="E31" s="205" t="s">
        <v>186</v>
      </c>
      <c r="F31" s="206"/>
      <c r="G31" s="207"/>
      <c r="H31" s="206"/>
      <c r="I31" s="58"/>
      <c r="J31" s="409"/>
      <c r="K31" s="153"/>
      <c r="L31" s="153"/>
      <c r="M31" s="154"/>
      <c r="N31" s="133"/>
      <c r="O31" s="142"/>
    </row>
    <row r="32" spans="1:12" ht="12.75" customHeight="1" thickBot="1">
      <c r="A32" s="732"/>
      <c r="B32" s="21"/>
      <c r="D32" s="19"/>
      <c r="E32" s="759" t="s">
        <v>191</v>
      </c>
      <c r="F32" s="760"/>
      <c r="G32" s="760"/>
      <c r="H32" s="761"/>
      <c r="I32" s="405"/>
      <c r="J32" s="25"/>
      <c r="K32" s="21"/>
      <c r="L32" s="129"/>
    </row>
    <row r="33" spans="1:12" ht="12.75" customHeight="1" thickBot="1">
      <c r="A33" s="208"/>
      <c r="B33" s="21"/>
      <c r="E33" s="25"/>
      <c r="F33" s="25"/>
      <c r="G33" s="25"/>
      <c r="H33" s="25"/>
      <c r="I33" s="25"/>
      <c r="J33" s="25"/>
      <c r="K33" s="21"/>
      <c r="L33" s="129"/>
    </row>
    <row r="34" spans="1:17" ht="12.75">
      <c r="A34" s="144"/>
      <c r="D34" s="19"/>
      <c r="E34" s="753" t="s">
        <v>294</v>
      </c>
      <c r="F34" s="745" t="s">
        <v>184</v>
      </c>
      <c r="G34" s="745"/>
      <c r="H34" s="686" t="s">
        <v>179</v>
      </c>
      <c r="I34" s="746"/>
      <c r="J34" s="25"/>
      <c r="K34"/>
      <c r="L34"/>
      <c r="M34"/>
      <c r="N34"/>
      <c r="O34" s="187"/>
      <c r="P34" s="140"/>
      <c r="Q34" s="15"/>
    </row>
    <row r="35" spans="2:17" ht="25.5">
      <c r="B35" s="630"/>
      <c r="D35" s="19"/>
      <c r="E35" s="754"/>
      <c r="F35" s="174" t="s">
        <v>176</v>
      </c>
      <c r="G35" s="174" t="s">
        <v>177</v>
      </c>
      <c r="H35" s="176" t="s">
        <v>176</v>
      </c>
      <c r="I35" s="180" t="s">
        <v>177</v>
      </c>
      <c r="J35"/>
      <c r="K35"/>
      <c r="L35" s="143"/>
      <c r="M35" s="143"/>
      <c r="N35" s="143"/>
      <c r="O35" s="187"/>
      <c r="P35" s="140"/>
      <c r="Q35" s="15"/>
    </row>
    <row r="36" spans="3:16" ht="38.25" customHeight="1">
      <c r="C36"/>
      <c r="D36" s="19"/>
      <c r="E36" s="755"/>
      <c r="F36" s="756" t="s">
        <v>187</v>
      </c>
      <c r="G36" s="757"/>
      <c r="H36" s="757"/>
      <c r="I36" s="758"/>
      <c r="J36"/>
      <c r="K36"/>
      <c r="L36"/>
      <c r="M36"/>
      <c r="N36"/>
      <c r="O36" s="187"/>
      <c r="P36" s="131"/>
    </row>
    <row r="37" spans="3:16" ht="17.25" customHeight="1" thickBot="1">
      <c r="C37"/>
      <c r="D37" s="19"/>
      <c r="E37" s="635"/>
      <c r="F37" s="747" t="s">
        <v>290</v>
      </c>
      <c r="G37" s="748"/>
      <c r="H37" s="748"/>
      <c r="I37" s="749"/>
      <c r="J37" s="152"/>
      <c r="K37" s="296"/>
      <c r="L37" s="296"/>
      <c r="M37" s="296"/>
      <c r="N37"/>
      <c r="O37" s="187"/>
      <c r="P37" s="131"/>
    </row>
    <row r="38" spans="3:17" ht="21.75" customHeight="1">
      <c r="C38"/>
      <c r="D38" s="19"/>
      <c r="E38" s="181" t="s">
        <v>298</v>
      </c>
      <c r="F38" s="631">
        <f>MEDIAN(E6:E17)</f>
        <v>100</v>
      </c>
      <c r="G38" s="632">
        <f>MEDIAN(F6:F17)</f>
        <v>100</v>
      </c>
      <c r="H38" s="633">
        <f>MEDIAN(G6:G17)</f>
        <v>100</v>
      </c>
      <c r="I38" s="634">
        <f>MEDIAN(H6:H17)</f>
        <v>97.05882352941177</v>
      </c>
      <c r="J38" s="230"/>
      <c r="K38" s="722" t="s">
        <v>271</v>
      </c>
      <c r="L38" s="723"/>
      <c r="M38" s="724"/>
      <c r="N38" s="638"/>
      <c r="O38" s="187"/>
      <c r="P38" s="141"/>
      <c r="Q38" s="15"/>
    </row>
    <row r="39" spans="3:17" ht="15" customHeight="1">
      <c r="C39"/>
      <c r="D39" s="19"/>
      <c r="E39" s="636"/>
      <c r="F39" s="750" t="s">
        <v>291</v>
      </c>
      <c r="G39" s="751"/>
      <c r="H39" s="751"/>
      <c r="I39" s="752"/>
      <c r="J39" s="637"/>
      <c r="K39" s="725"/>
      <c r="L39" s="726"/>
      <c r="M39" s="727"/>
      <c r="N39" s="638"/>
      <c r="O39" s="187"/>
      <c r="P39" s="141"/>
      <c r="Q39" s="15"/>
    </row>
    <row r="40" spans="4:17" ht="19.5" customHeight="1">
      <c r="D40" s="19"/>
      <c r="E40" s="181" t="s">
        <v>298</v>
      </c>
      <c r="F40" s="631">
        <f>MEDIAN(E19:E30)</f>
        <v>65.16806722689076</v>
      </c>
      <c r="G40" s="632">
        <f>MEDIAN(F19:F30)</f>
        <v>24.705882352941174</v>
      </c>
      <c r="H40" s="633">
        <f>MEDIAN(G19:G30)</f>
        <v>100</v>
      </c>
      <c r="I40" s="634">
        <f>MEDIAN(H19:H30)</f>
        <v>94.2016806722689</v>
      </c>
      <c r="J40" s="19"/>
      <c r="K40" s="728"/>
      <c r="L40" s="729"/>
      <c r="M40" s="730"/>
      <c r="N40" s="639"/>
      <c r="O40" s="187"/>
      <c r="P40" s="131"/>
      <c r="Q40" s="15"/>
    </row>
    <row r="41" spans="4:17" ht="26.25" customHeight="1">
      <c r="D41" s="19"/>
      <c r="E41" s="181" t="s">
        <v>299</v>
      </c>
      <c r="F41" s="194">
        <f>MIN(E19:E30)</f>
        <v>32.25806451612903</v>
      </c>
      <c r="G41" s="194">
        <f>MIN(F19:F30)</f>
        <v>5.882352941176471</v>
      </c>
      <c r="H41" s="446">
        <f>MIN(G19:G30)</f>
        <v>96.96969696969697</v>
      </c>
      <c r="I41" s="435">
        <f>MIN(H19:H30)</f>
        <v>79.41176470588235</v>
      </c>
      <c r="J41" s="19"/>
      <c r="K41" s="27"/>
      <c r="L41" s="155"/>
      <c r="M41" s="642"/>
      <c r="N41" s="639"/>
      <c r="O41" s="187"/>
      <c r="P41" s="131"/>
      <c r="Q41" s="15"/>
    </row>
    <row r="42" spans="4:17" ht="28.5" customHeight="1">
      <c r="D42" s="19"/>
      <c r="E42" s="181" t="s">
        <v>300</v>
      </c>
      <c r="F42" s="194">
        <f>MAX(E19:E30)</f>
        <v>100</v>
      </c>
      <c r="G42" s="194">
        <f>MAX(F19:F30)</f>
        <v>86.11111111111111</v>
      </c>
      <c r="H42" s="446">
        <f>MAX(G19:G30)</f>
        <v>100</v>
      </c>
      <c r="I42" s="435">
        <f>MAX(H19:H30)</f>
        <v>100</v>
      </c>
      <c r="J42" s="230"/>
      <c r="K42" s="27"/>
      <c r="L42" s="643"/>
      <c r="M42" s="642"/>
      <c r="N42" s="639"/>
      <c r="O42" s="187"/>
      <c r="P42" s="131"/>
      <c r="Q42" s="15"/>
    </row>
    <row r="43" spans="4:17" ht="12.75">
      <c r="D43" s="19"/>
      <c r="E43" s="636"/>
      <c r="F43" s="750" t="s">
        <v>297</v>
      </c>
      <c r="G43" s="751"/>
      <c r="H43" s="751"/>
      <c r="I43" s="752"/>
      <c r="J43" s="230"/>
      <c r="K43" s="27"/>
      <c r="L43" s="643"/>
      <c r="M43" s="642"/>
      <c r="N43" s="639"/>
      <c r="O43" s="187"/>
      <c r="P43" s="131"/>
      <c r="Q43" s="15"/>
    </row>
    <row r="44" spans="4:17" ht="29.25" customHeight="1">
      <c r="D44" s="19"/>
      <c r="E44" s="181" t="s">
        <v>298</v>
      </c>
      <c r="F44" s="442">
        <f>MEDIAN(E19:E21,E25:E26,E28,E30)</f>
        <v>80</v>
      </c>
      <c r="G44" s="444">
        <f>MEDIAN(F19:F21,F25:F26,F28,F30)</f>
        <v>40</v>
      </c>
      <c r="H44" s="446"/>
      <c r="I44" s="435"/>
      <c r="J44" s="230"/>
      <c r="K44" s="27"/>
      <c r="L44" s="643"/>
      <c r="M44" s="642"/>
      <c r="N44" s="639"/>
      <c r="O44" s="187"/>
      <c r="P44" s="131"/>
      <c r="Q44" s="15"/>
    </row>
    <row r="45" spans="4:17" ht="29.25" customHeight="1">
      <c r="D45" s="19"/>
      <c r="E45" s="681"/>
      <c r="F45" s="750" t="s">
        <v>296</v>
      </c>
      <c r="G45" s="751"/>
      <c r="H45" s="751"/>
      <c r="I45" s="752"/>
      <c r="J45" s="230"/>
      <c r="K45" s="27"/>
      <c r="L45" s="643"/>
      <c r="M45" s="642"/>
      <c r="N45" s="639"/>
      <c r="O45" s="187"/>
      <c r="P45" s="131"/>
      <c r="Q45" s="15"/>
    </row>
    <row r="46" spans="4:17" ht="27.75" customHeight="1">
      <c r="D46" s="19"/>
      <c r="E46" s="181" t="s">
        <v>298</v>
      </c>
      <c r="F46" s="443">
        <f>MEDIAN(E22:E24,E27,E29)</f>
        <v>42.857142857142854</v>
      </c>
      <c r="G46" s="445">
        <f>MEDIAN(F22:F24,F27,F29)</f>
        <v>8.108108108108109</v>
      </c>
      <c r="H46" s="447"/>
      <c r="I46" s="435"/>
      <c r="J46" s="230"/>
      <c r="K46" s="27"/>
      <c r="L46" s="643"/>
      <c r="M46" s="642"/>
      <c r="N46" s="639"/>
      <c r="O46" s="187"/>
      <c r="P46" s="131"/>
      <c r="Q46" s="15"/>
    </row>
    <row r="47" spans="2:16" ht="30.75" customHeight="1">
      <c r="B47" s="8">
        <f>IF('Demog &amp; vision'!E4="","",'Demog &amp; vision'!E4)</f>
      </c>
      <c r="D47" s="19"/>
      <c r="E47" s="181"/>
      <c r="F47" s="742" t="s">
        <v>188</v>
      </c>
      <c r="G47" s="743"/>
      <c r="H47" s="743"/>
      <c r="I47" s="744"/>
      <c r="J47" s="25"/>
      <c r="K47" s="644"/>
      <c r="L47" s="643"/>
      <c r="M47" s="604"/>
      <c r="N47" s="368"/>
      <c r="O47" s="131"/>
      <c r="P47" s="131"/>
    </row>
    <row r="48" spans="2:16" ht="17.25" customHeight="1">
      <c r="B48" s="8">
        <f>IF('Demog &amp; vision'!E5="","",'Demog &amp; vision'!E5)</f>
      </c>
      <c r="D48" s="19"/>
      <c r="E48" s="185"/>
      <c r="F48" s="747" t="s">
        <v>292</v>
      </c>
      <c r="G48" s="748"/>
      <c r="H48" s="748"/>
      <c r="I48" s="762"/>
      <c r="J48" s="25"/>
      <c r="K48" s="644"/>
      <c r="L48" s="643"/>
      <c r="M48" s="604"/>
      <c r="N48" s="368"/>
      <c r="O48" s="131"/>
      <c r="P48" s="131"/>
    </row>
    <row r="49" spans="2:16" ht="12.75">
      <c r="B49" s="8">
        <f>IF('Demog &amp; vision'!E6="","",'Demog &amp; vision'!E6)</f>
      </c>
      <c r="D49" s="19"/>
      <c r="E49" s="182" t="s">
        <v>153</v>
      </c>
      <c r="F49" s="184">
        <f>AVERAGE(J6:J8,J12:J13,J15,J17)</f>
        <v>0.6928411428571428</v>
      </c>
      <c r="G49" s="448">
        <f>AVERAGE(K6:K8,K12:K13,K15,K17)</f>
        <v>0.7333211428571429</v>
      </c>
      <c r="H49" s="449">
        <f>AVERAGE(L6:L8,L12:L13,L15,L17)</f>
        <v>0.6666598571428571</v>
      </c>
      <c r="I49" s="436">
        <f>AVERAGE(M6:M8,M12:M13,M15,M17)</f>
        <v>0.7047597142857144</v>
      </c>
      <c r="J49" s="25"/>
      <c r="K49" s="645"/>
      <c r="L49" s="643"/>
      <c r="M49" s="604"/>
      <c r="N49" s="368"/>
      <c r="O49" s="131"/>
      <c r="P49" s="131"/>
    </row>
    <row r="50" spans="2:16" ht="12.75">
      <c r="B50" s="8">
        <f>IF('Demog &amp; vision'!E7="","",'Demog &amp; vision'!E7)</f>
      </c>
      <c r="D50" s="19"/>
      <c r="E50" s="182" t="s">
        <v>144</v>
      </c>
      <c r="F50" s="179">
        <f>STDEV(J6:J8,J12:J13,J15,J17)</f>
        <v>0.07984816856630426</v>
      </c>
      <c r="G50" s="406">
        <f>STDEV(K6:K8,K12:K13,K15,K17)</f>
        <v>0.048114323205876566</v>
      </c>
      <c r="H50" s="450">
        <f>STDEV(L6:L8,L12:L13,L15,L17)</f>
        <v>0.06667008446679454</v>
      </c>
      <c r="I50" s="437">
        <f>STDEV(M6:M8,M12:M13,M15,M17)</f>
        <v>0.0650606478493044</v>
      </c>
      <c r="J50" s="25"/>
      <c r="K50" s="605"/>
      <c r="L50" s="646"/>
      <c r="M50" s="393"/>
      <c r="N50" s="640"/>
      <c r="O50" s="140"/>
      <c r="P50" s="140"/>
    </row>
    <row r="51" spans="2:16" ht="12.75">
      <c r="B51" s="8">
        <f>IF('Demog &amp; vision'!E8="","",'Demog &amp; vision'!E8)</f>
      </c>
      <c r="D51" s="19"/>
      <c r="E51" s="182" t="s">
        <v>182</v>
      </c>
      <c r="F51" s="186">
        <f>MEDIAN(J6:J8,J12:J13,J15,J17)</f>
        <v>0.666657</v>
      </c>
      <c r="G51" s="407">
        <f>MEDIAN(K6:K8,K12:K13,K15,K17)</f>
        <v>0.733307</v>
      </c>
      <c r="H51" s="451">
        <f>MEDIAN(L6:L8,L12:L13,L15,L17)</f>
        <v>0.666657</v>
      </c>
      <c r="I51" s="438">
        <f>MEDIAN(M6:M8,M12:M13,M15,M17)</f>
        <v>0.733337</v>
      </c>
      <c r="J51" s="25"/>
      <c r="K51" s="27"/>
      <c r="L51" s="646"/>
      <c r="M51" s="393"/>
      <c r="N51" s="640"/>
      <c r="O51" s="140"/>
      <c r="P51" s="140"/>
    </row>
    <row r="52" spans="2:16" ht="12.75">
      <c r="B52" s="8">
        <f>IF('Demog &amp; vision'!E9="","",'Demog &amp; vision'!E9)</f>
      </c>
      <c r="D52" s="19"/>
      <c r="E52" s="185"/>
      <c r="F52" s="739" t="s">
        <v>293</v>
      </c>
      <c r="G52" s="740"/>
      <c r="H52" s="740"/>
      <c r="I52" s="741"/>
      <c r="J52" s="25"/>
      <c r="K52" s="647"/>
      <c r="L52" s="210"/>
      <c r="M52" s="648"/>
      <c r="N52" s="641"/>
      <c r="O52" s="131"/>
      <c r="P52" s="131"/>
    </row>
    <row r="53" spans="2:16" ht="12.75">
      <c r="B53" s="8">
        <f>IF('Demog &amp; vision'!E10="","",'Demog &amp; vision'!E10)</f>
      </c>
      <c r="D53" s="19"/>
      <c r="E53" s="182" t="s">
        <v>153</v>
      </c>
      <c r="F53" s="184">
        <f>AVERAGE(J19:J21,J25:J26,J28,J30)</f>
        <v>1.2571284999999999</v>
      </c>
      <c r="G53" s="448">
        <f>AVERAGE(K19:K21,K25:K26,K28,K30)</f>
        <v>1.811878785714286</v>
      </c>
      <c r="H53" s="452">
        <f>AVERAGE(L19:L21,L25:L26,L28,L30)</f>
        <v>0.8142787142857143</v>
      </c>
      <c r="I53" s="439">
        <f>AVERAGE(M19:M21,M25:M26,M28,M30)</f>
        <v>0.9095164285714284</v>
      </c>
      <c r="J53" s="196"/>
      <c r="K53" s="649"/>
      <c r="L53" s="196"/>
      <c r="M53" s="441"/>
      <c r="N53" s="196"/>
      <c r="O53" s="179"/>
      <c r="P53" s="135"/>
    </row>
    <row r="54" spans="2:15" ht="12.75">
      <c r="B54" s="8">
        <f>IF('Demog &amp; vision'!E11="","",'Demog &amp; vision'!E11)</f>
      </c>
      <c r="D54" s="19"/>
      <c r="E54" s="182" t="s">
        <v>144</v>
      </c>
      <c r="F54" s="195">
        <f>STDEV(J19:J21,J25:J26,J28,J30)</f>
        <v>0.270600208780562</v>
      </c>
      <c r="G54" s="408">
        <f>STDEV(K19:K21,K25:K26,K28,K30)</f>
        <v>0.38365512936086826</v>
      </c>
      <c r="H54" s="453">
        <f>STDEV(L19:L21,L25:L26,L28,L30)</f>
        <v>0.10156368789863421</v>
      </c>
      <c r="I54" s="440">
        <f>STDEV(M19:M21,M25:M26,M28,M30)</f>
        <v>0.07319413228100384</v>
      </c>
      <c r="J54" s="211"/>
      <c r="K54" s="650"/>
      <c r="L54" s="211"/>
      <c r="M54" s="651"/>
      <c r="N54" s="25"/>
      <c r="O54" s="21"/>
    </row>
    <row r="55" spans="2:15" ht="12.75">
      <c r="B55" s="8">
        <f>IF('Demog &amp; vision'!E12="","",'Demog &amp; vision'!E12)</f>
      </c>
      <c r="D55" s="19"/>
      <c r="E55" s="182" t="s">
        <v>182</v>
      </c>
      <c r="F55" s="196">
        <f>MEDIAN(J19:J21,J25:J26,J28,J30)</f>
        <v>1.283321</v>
      </c>
      <c r="G55" s="196">
        <f>MEDIAN(K19:K21,K25:K26,K28,K30)</f>
        <v>1.899964</v>
      </c>
      <c r="H55" s="454">
        <f>MEDIAN(L19:L21,L25:L26,L28,L30)</f>
        <v>0.766663</v>
      </c>
      <c r="I55" s="441">
        <f>MEDIAN(M19:M21,M25:M26,M28,M30)</f>
        <v>0.899994</v>
      </c>
      <c r="J55" s="196"/>
      <c r="K55" s="649"/>
      <c r="L55" s="196"/>
      <c r="M55" s="441"/>
      <c r="N55" s="25"/>
      <c r="O55" s="21"/>
    </row>
    <row r="56" spans="2:15" ht="12.75">
      <c r="B56" s="8">
        <f>IF('Demog &amp; vision'!E13="","",'Demog &amp; vision'!E13)</f>
      </c>
      <c r="D56" s="19"/>
      <c r="E56" s="182" t="s">
        <v>189</v>
      </c>
      <c r="F56" s="202">
        <f>MIN(E19:E21,E25:E26,E28,E30)</f>
        <v>54.54545454545455</v>
      </c>
      <c r="G56" s="333">
        <f>MIN(F19:F21,F25:F26,F28,F30)</f>
        <v>20</v>
      </c>
      <c r="H56" s="455">
        <f>MIN(G19:G21,G25:G26,G28,G30)</f>
        <v>96.96969696969697</v>
      </c>
      <c r="I56" s="199">
        <f>MIN(H19:H21,H25:H26,H28,H30)</f>
        <v>79.41176470588235</v>
      </c>
      <c r="J56" s="212"/>
      <c r="K56" s="652"/>
      <c r="L56" s="212"/>
      <c r="M56" s="653"/>
      <c r="N56" s="25"/>
      <c r="O56" s="21"/>
    </row>
    <row r="57" spans="2:15" ht="13.5" thickBot="1">
      <c r="B57" s="8">
        <f>IF('Demog &amp; vision'!E14="","",'Demog &amp; vision'!E14)</f>
      </c>
      <c r="D57" s="19"/>
      <c r="E57" s="183" t="s">
        <v>190</v>
      </c>
      <c r="F57" s="203">
        <f>MAX(E19:E21,E25:E26,E28,E30)</f>
        <v>100</v>
      </c>
      <c r="G57" s="209">
        <f>MAX(F19:F21,F25:F26,F28,F30)</f>
        <v>86.11111111111111</v>
      </c>
      <c r="H57" s="257">
        <f>MAX(G19:G21,G25:G26,G28,G30)</f>
        <v>100</v>
      </c>
      <c r="I57" s="201">
        <f>MAX(H19:H21,H25:H26,H28,H30)</f>
        <v>100</v>
      </c>
      <c r="J57" s="212"/>
      <c r="K57" s="652"/>
      <c r="L57" s="212"/>
      <c r="M57" s="653"/>
      <c r="N57" s="25"/>
      <c r="O57" s="21"/>
    </row>
    <row r="58" spans="2:14" ht="13.5" thickBot="1">
      <c r="B58" s="8">
        <f>IF('Demog &amp; vision'!E15="","",'Demog &amp; vision'!E15)</f>
      </c>
      <c r="E58" s="23"/>
      <c r="F58" s="23"/>
      <c r="G58" s="23"/>
      <c r="H58" s="23"/>
      <c r="I58" s="103"/>
      <c r="J58" s="25"/>
      <c r="K58" s="654"/>
      <c r="L58" s="655"/>
      <c r="M58" s="656"/>
      <c r="N58" s="47"/>
    </row>
    <row r="59" spans="2:13" ht="12.75">
      <c r="B59" s="8">
        <f>IF('Demog &amp; vision'!E16="","",'Demog &amp; vision'!E16)</f>
      </c>
      <c r="I59" s="19"/>
      <c r="J59" s="25"/>
      <c r="K59" s="47"/>
      <c r="L59" s="23"/>
      <c r="M59" s="23"/>
    </row>
    <row r="60" spans="2:11" ht="12.75">
      <c r="B60" s="8">
        <f>IF('Demog &amp; vision'!E17="","",'Demog &amp; vision'!E17)</f>
      </c>
      <c r="I60" s="19"/>
      <c r="J60" s="25"/>
      <c r="K60" s="21"/>
    </row>
    <row r="61" spans="9:11" ht="12.75">
      <c r="I61" s="19"/>
      <c r="J61" s="25"/>
      <c r="K61" s="21"/>
    </row>
    <row r="62" spans="9:11" ht="12.75">
      <c r="I62" s="19"/>
      <c r="J62" s="25"/>
      <c r="K62" s="21"/>
    </row>
    <row r="63" spans="9:11" ht="12.75">
      <c r="I63" s="19"/>
      <c r="J63" s="25"/>
      <c r="K63" s="21"/>
    </row>
    <row r="64" spans="9:11" ht="12.75">
      <c r="I64" s="19"/>
      <c r="J64" s="25"/>
      <c r="K64" s="21"/>
    </row>
    <row r="65" spans="9:11" ht="12.75">
      <c r="I65" s="19"/>
      <c r="J65" s="25"/>
      <c r="K65" s="21"/>
    </row>
    <row r="66" ht="12.75">
      <c r="J66" s="23"/>
    </row>
  </sheetData>
  <mergeCells count="26">
    <mergeCell ref="E34:E36"/>
    <mergeCell ref="F36:I36"/>
    <mergeCell ref="E32:H32"/>
    <mergeCell ref="F48:I48"/>
    <mergeCell ref="F45:I45"/>
    <mergeCell ref="F52:I52"/>
    <mergeCell ref="F47:I47"/>
    <mergeCell ref="F34:G34"/>
    <mergeCell ref="H34:I34"/>
    <mergeCell ref="F37:I37"/>
    <mergeCell ref="F39:I39"/>
    <mergeCell ref="F43:I43"/>
    <mergeCell ref="J2:K2"/>
    <mergeCell ref="L2:M2"/>
    <mergeCell ref="G2:H2"/>
    <mergeCell ref="E2:F2"/>
    <mergeCell ref="K38:M40"/>
    <mergeCell ref="A31:A32"/>
    <mergeCell ref="A1:A2"/>
    <mergeCell ref="C2:D2"/>
    <mergeCell ref="B2:B3"/>
    <mergeCell ref="E1:I1"/>
    <mergeCell ref="B1:D1"/>
    <mergeCell ref="E5:M5"/>
    <mergeCell ref="E18:M18"/>
    <mergeCell ref="J1:M1"/>
  </mergeCells>
  <printOptions/>
  <pageMargins left="0.75" right="0.75" top="1" bottom="1" header="0.5" footer="0.5"/>
  <pageSetup horizontalDpi="600" verticalDpi="600" orientation="portrait" r:id="rId2"/>
  <ignoredErrors>
    <ignoredError sqref="G53:G55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1"/>
  <sheetViews>
    <sheetView zoomScale="75" zoomScaleNormal="75" workbookViewId="0" topLeftCell="A1">
      <pane xSplit="4" ySplit="3" topLeftCell="E2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64" sqref="G64"/>
    </sheetView>
  </sheetViews>
  <sheetFormatPr defaultColWidth="9.140625" defaultRowHeight="12.75"/>
  <cols>
    <col min="1" max="1" width="15.7109375" style="0" customWidth="1"/>
    <col min="2" max="2" width="13.140625" style="8" customWidth="1"/>
    <col min="4" max="4" width="11.421875" style="0" customWidth="1"/>
    <col min="5" max="5" width="10.28125" style="8" customWidth="1"/>
    <col min="6" max="6" width="10.7109375" style="8" customWidth="1"/>
    <col min="7" max="7" width="10.28125" style="8" customWidth="1"/>
    <col min="8" max="8" width="11.421875" style="8" customWidth="1"/>
    <col min="9" max="9" width="10.140625" style="8" customWidth="1"/>
    <col min="10" max="10" width="10.7109375" style="8" customWidth="1"/>
    <col min="11" max="12" width="11.00390625" style="8" customWidth="1"/>
    <col min="13" max="13" width="10.140625" style="8" customWidth="1"/>
    <col min="14" max="14" width="11.00390625" style="8" customWidth="1"/>
    <col min="15" max="15" width="10.7109375" style="8" customWidth="1"/>
    <col min="16" max="16" width="11.28125" style="8" customWidth="1"/>
    <col min="17" max="21" width="9.140625" style="8" customWidth="1"/>
  </cols>
  <sheetData>
    <row r="1" spans="1:21" s="7" customFormat="1" ht="46.5" customHeight="1">
      <c r="A1" s="685" t="str">
        <f>IF('Demog &amp; vision'!A1="","",'Demog &amp; vision'!A1)</f>
        <v>Simulator-driving with hemianopia:
1. Detection performance</v>
      </c>
      <c r="B1" s="775" t="s">
        <v>277</v>
      </c>
      <c r="C1" s="776"/>
      <c r="D1" s="777"/>
      <c r="E1" s="778" t="s">
        <v>260</v>
      </c>
      <c r="F1" s="778"/>
      <c r="G1" s="778"/>
      <c r="H1" s="778"/>
      <c r="I1" s="778"/>
      <c r="J1" s="778"/>
      <c r="K1" s="778"/>
      <c r="L1" s="778"/>
      <c r="M1" s="778"/>
      <c r="N1" s="778"/>
      <c r="O1" s="686" t="s">
        <v>88</v>
      </c>
      <c r="P1" s="746"/>
      <c r="Q1" s="42"/>
      <c r="R1" s="134"/>
      <c r="S1" s="134"/>
      <c r="T1" s="134"/>
      <c r="U1" s="134"/>
    </row>
    <row r="2" spans="1:21" s="7" customFormat="1" ht="55.5" customHeight="1">
      <c r="A2" s="733"/>
      <c r="B2" s="734" t="s">
        <v>31</v>
      </c>
      <c r="C2" s="721" t="s">
        <v>172</v>
      </c>
      <c r="D2" s="721"/>
      <c r="E2" s="773" t="s">
        <v>226</v>
      </c>
      <c r="F2" s="696"/>
      <c r="G2" s="735" t="s">
        <v>225</v>
      </c>
      <c r="H2" s="738"/>
      <c r="I2" s="696" t="s">
        <v>194</v>
      </c>
      <c r="J2" s="696"/>
      <c r="K2" s="738" t="s">
        <v>195</v>
      </c>
      <c r="L2" s="738"/>
      <c r="M2" s="773" t="s">
        <v>224</v>
      </c>
      <c r="N2" s="696"/>
      <c r="O2" s="688" t="s">
        <v>90</v>
      </c>
      <c r="P2" s="774"/>
      <c r="Q2" s="42"/>
      <c r="R2" s="134"/>
      <c r="S2" s="134"/>
      <c r="T2" s="134"/>
      <c r="U2" s="134"/>
    </row>
    <row r="3" spans="1:21" s="227" customFormat="1" ht="36.75" customHeight="1">
      <c r="A3" s="275" t="str">
        <f>IF('Demog &amp; vision'!A3="","",'Demog &amp; vision'!A3)</f>
        <v>Subject ID</v>
      </c>
      <c r="B3" s="734"/>
      <c r="C3" s="14" t="s">
        <v>173</v>
      </c>
      <c r="D3" s="14" t="s">
        <v>174</v>
      </c>
      <c r="E3" s="270" t="s">
        <v>86</v>
      </c>
      <c r="F3" s="270" t="s">
        <v>87</v>
      </c>
      <c r="G3" s="174" t="s">
        <v>86</v>
      </c>
      <c r="H3" s="174" t="s">
        <v>87</v>
      </c>
      <c r="I3" s="270" t="s">
        <v>86</v>
      </c>
      <c r="J3" s="270" t="s">
        <v>87</v>
      </c>
      <c r="K3" s="174" t="s">
        <v>86</v>
      </c>
      <c r="L3" s="174" t="s">
        <v>87</v>
      </c>
      <c r="M3" s="270" t="s">
        <v>86</v>
      </c>
      <c r="N3" s="270" t="s">
        <v>87</v>
      </c>
      <c r="O3" s="176" t="s">
        <v>86</v>
      </c>
      <c r="P3" s="180" t="s">
        <v>87</v>
      </c>
      <c r="Q3" s="228"/>
      <c r="R3" s="16"/>
      <c r="S3" s="16"/>
      <c r="T3" s="16"/>
      <c r="U3" s="16"/>
    </row>
    <row r="4" spans="1:17" ht="12.75">
      <c r="A4" s="294"/>
      <c r="B4" s="295"/>
      <c r="C4" s="296"/>
      <c r="D4" s="325"/>
      <c r="E4" s="243" t="s">
        <v>77</v>
      </c>
      <c r="F4" s="244" t="s">
        <v>76</v>
      </c>
      <c r="G4" s="245" t="s">
        <v>79</v>
      </c>
      <c r="H4" s="244" t="s">
        <v>78</v>
      </c>
      <c r="I4" s="245" t="s">
        <v>81</v>
      </c>
      <c r="J4" s="244" t="s">
        <v>80</v>
      </c>
      <c r="K4" s="245" t="s">
        <v>83</v>
      </c>
      <c r="L4" s="244" t="s">
        <v>82</v>
      </c>
      <c r="M4" s="245" t="s">
        <v>85</v>
      </c>
      <c r="N4" s="244" t="s">
        <v>84</v>
      </c>
      <c r="O4" s="245" t="s">
        <v>85</v>
      </c>
      <c r="P4" s="262" t="s">
        <v>84</v>
      </c>
      <c r="Q4" s="21"/>
    </row>
    <row r="5" spans="1:17" ht="12.75">
      <c r="A5" s="299"/>
      <c r="B5" s="300"/>
      <c r="C5" s="301"/>
      <c r="D5" s="302"/>
      <c r="E5" s="698" t="s">
        <v>167</v>
      </c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90"/>
      <c r="Q5" s="21"/>
    </row>
    <row r="6" spans="1:17" ht="12.75">
      <c r="A6" s="297" t="str">
        <f>IF('Demog &amp; vision'!A5="","",'Demog &amp; vision'!A5)</f>
        <v>NV1</v>
      </c>
      <c r="B6" s="298" t="str">
        <f>IF('Demog &amp; vision'!F5="","",'Demog &amp; vision'!F5)</f>
        <v>"Left"</v>
      </c>
      <c r="C6" s="23" t="s">
        <v>19</v>
      </c>
      <c r="D6" s="103" t="s">
        <v>19</v>
      </c>
      <c r="E6" s="246">
        <v>2</v>
      </c>
      <c r="F6" s="247">
        <v>2</v>
      </c>
      <c r="G6" s="246">
        <v>2</v>
      </c>
      <c r="H6" s="247">
        <v>2</v>
      </c>
      <c r="I6" s="246">
        <v>2</v>
      </c>
      <c r="J6" s="247">
        <v>2</v>
      </c>
      <c r="K6" s="246">
        <v>2</v>
      </c>
      <c r="L6" s="247">
        <v>2</v>
      </c>
      <c r="M6" s="246">
        <v>2</v>
      </c>
      <c r="N6" s="247">
        <v>2</v>
      </c>
      <c r="O6" s="248">
        <f aca="true" t="shared" si="0" ref="O6:O17">SUM(E6,G6,I6,K6,M6)</f>
        <v>10</v>
      </c>
      <c r="P6" s="199">
        <f aca="true" t="shared" si="1" ref="P6:P17">SUM(F6,H6,J6,L6,N6)</f>
        <v>10</v>
      </c>
      <c r="Q6" s="21"/>
    </row>
    <row r="7" spans="1:17" ht="12.75">
      <c r="A7" s="166" t="str">
        <f>IF('Demog &amp; vision'!A6="","",'Demog &amp; vision'!A6)</f>
        <v>NV2</v>
      </c>
      <c r="B7" s="241" t="str">
        <f>IF('Demog &amp; vision'!F6="","",'Demog &amp; vision'!F6)</f>
        <v>"Left"</v>
      </c>
      <c r="C7" s="155" t="s">
        <v>19</v>
      </c>
      <c r="D7" s="19" t="s">
        <v>19</v>
      </c>
      <c r="E7" s="235">
        <v>2</v>
      </c>
      <c r="F7" s="231">
        <v>2</v>
      </c>
      <c r="G7" s="235">
        <v>2</v>
      </c>
      <c r="H7" s="231">
        <v>2</v>
      </c>
      <c r="I7" s="235">
        <v>2</v>
      </c>
      <c r="J7" s="231">
        <v>2</v>
      </c>
      <c r="K7" s="235">
        <v>1</v>
      </c>
      <c r="L7" s="231">
        <v>2</v>
      </c>
      <c r="M7" s="235">
        <v>2</v>
      </c>
      <c r="N7" s="231">
        <v>2</v>
      </c>
      <c r="O7" s="232">
        <f t="shared" si="0"/>
        <v>9</v>
      </c>
      <c r="P7" s="255">
        <f t="shared" si="1"/>
        <v>10</v>
      </c>
      <c r="Q7" s="21"/>
    </row>
    <row r="8" spans="1:17" ht="12.75">
      <c r="A8" s="166" t="str">
        <f>IF('Demog &amp; vision'!A7="","",'Demog &amp; vision'!A7)</f>
        <v>NV3</v>
      </c>
      <c r="B8" s="241" t="str">
        <f>IF('Demog &amp; vision'!F7="","",'Demog &amp; vision'!F7)</f>
        <v>"Left"</v>
      </c>
      <c r="C8" s="155" t="s">
        <v>19</v>
      </c>
      <c r="D8" s="19" t="s">
        <v>19</v>
      </c>
      <c r="E8" s="235">
        <v>2</v>
      </c>
      <c r="F8" s="231">
        <v>2</v>
      </c>
      <c r="G8" s="235">
        <v>2</v>
      </c>
      <c r="H8" s="231">
        <v>2</v>
      </c>
      <c r="I8" s="235">
        <v>2</v>
      </c>
      <c r="J8" s="231">
        <v>2</v>
      </c>
      <c r="K8" s="235">
        <v>2</v>
      </c>
      <c r="L8" s="231">
        <v>2</v>
      </c>
      <c r="M8" s="235">
        <v>2</v>
      </c>
      <c r="N8" s="231">
        <v>2</v>
      </c>
      <c r="O8" s="232">
        <f t="shared" si="0"/>
        <v>10</v>
      </c>
      <c r="P8" s="255">
        <f t="shared" si="1"/>
        <v>10</v>
      </c>
      <c r="Q8" s="21"/>
    </row>
    <row r="9" spans="1:17" ht="12.75">
      <c r="A9" s="166" t="str">
        <f>IF('Demog &amp; vision'!A8="","",'Demog &amp; vision'!A8)</f>
        <v>NV4</v>
      </c>
      <c r="B9" s="241" t="str">
        <f>IF('Demog &amp; vision'!F8="","",'Demog &amp; vision'!F8)</f>
        <v>"Left"</v>
      </c>
      <c r="C9" s="155" t="s">
        <v>19</v>
      </c>
      <c r="D9" s="19" t="s">
        <v>19</v>
      </c>
      <c r="E9" s="235">
        <v>2</v>
      </c>
      <c r="F9" s="231">
        <v>2</v>
      </c>
      <c r="G9" s="235">
        <v>1</v>
      </c>
      <c r="H9" s="231">
        <v>2</v>
      </c>
      <c r="I9" s="235">
        <v>2</v>
      </c>
      <c r="J9" s="231">
        <v>2</v>
      </c>
      <c r="K9" s="235">
        <v>2</v>
      </c>
      <c r="L9" s="231">
        <v>2</v>
      </c>
      <c r="M9" s="235">
        <v>2</v>
      </c>
      <c r="N9" s="231">
        <v>2</v>
      </c>
      <c r="O9" s="232">
        <f t="shared" si="0"/>
        <v>9</v>
      </c>
      <c r="P9" s="255">
        <f t="shared" si="1"/>
        <v>10</v>
      </c>
      <c r="Q9" s="21"/>
    </row>
    <row r="10" spans="1:17" ht="12.75">
      <c r="A10" s="166" t="str">
        <f>IF('Demog &amp; vision'!A9="","",'Demog &amp; vision'!A9)</f>
        <v>NV5</v>
      </c>
      <c r="B10" s="241" t="str">
        <f>IF('Demog &amp; vision'!F9="","",'Demog &amp; vision'!F9)</f>
        <v>"Left"</v>
      </c>
      <c r="C10" s="155" t="s">
        <v>19</v>
      </c>
      <c r="D10" s="19" t="s">
        <v>19</v>
      </c>
      <c r="E10" s="235">
        <v>2</v>
      </c>
      <c r="F10" s="231">
        <v>2</v>
      </c>
      <c r="G10" s="235">
        <v>1</v>
      </c>
      <c r="H10" s="231">
        <v>2</v>
      </c>
      <c r="I10" s="235">
        <v>2</v>
      </c>
      <c r="J10" s="231">
        <v>2</v>
      </c>
      <c r="K10" s="235">
        <v>2</v>
      </c>
      <c r="L10" s="231">
        <v>2</v>
      </c>
      <c r="M10" s="235">
        <v>2</v>
      </c>
      <c r="N10" s="231">
        <v>2</v>
      </c>
      <c r="O10" s="232">
        <f t="shared" si="0"/>
        <v>9</v>
      </c>
      <c r="P10" s="255">
        <f t="shared" si="1"/>
        <v>10</v>
      </c>
      <c r="Q10" s="21"/>
    </row>
    <row r="11" spans="1:17" ht="12.75">
      <c r="A11" s="166" t="str">
        <f>IF('Demog &amp; vision'!A10="","",'Demog &amp; vision'!A10)</f>
        <v>NV6</v>
      </c>
      <c r="B11" s="241" t="str">
        <f>IF('Demog &amp; vision'!F10="","",'Demog &amp; vision'!F10)</f>
        <v>"Left"</v>
      </c>
      <c r="C11" s="155" t="s">
        <v>19</v>
      </c>
      <c r="D11" s="19" t="s">
        <v>19</v>
      </c>
      <c r="E11" s="235">
        <v>2</v>
      </c>
      <c r="F11" s="231">
        <v>2</v>
      </c>
      <c r="G11" s="235">
        <v>1</v>
      </c>
      <c r="H11" s="231">
        <v>2</v>
      </c>
      <c r="I11" s="235">
        <v>2</v>
      </c>
      <c r="J11" s="231">
        <v>2</v>
      </c>
      <c r="K11" s="235">
        <v>2</v>
      </c>
      <c r="L11" s="231">
        <v>2</v>
      </c>
      <c r="M11" s="235">
        <v>1</v>
      </c>
      <c r="N11" s="231">
        <v>2</v>
      </c>
      <c r="O11" s="232">
        <f t="shared" si="0"/>
        <v>8</v>
      </c>
      <c r="P11" s="255">
        <f t="shared" si="1"/>
        <v>10</v>
      </c>
      <c r="Q11" s="21"/>
    </row>
    <row r="12" spans="1:17" ht="12.75">
      <c r="A12" s="166" t="str">
        <f>IF('Demog &amp; vision'!A11="","",'Demog &amp; vision'!A11)</f>
        <v>NV7</v>
      </c>
      <c r="B12" s="241" t="str">
        <f>IF('Demog &amp; vision'!F11="","",'Demog &amp; vision'!F11)</f>
        <v>"Right"</v>
      </c>
      <c r="C12" s="155" t="s">
        <v>19</v>
      </c>
      <c r="D12" s="19" t="s">
        <v>19</v>
      </c>
      <c r="E12" s="235">
        <v>2</v>
      </c>
      <c r="F12" s="231">
        <v>2</v>
      </c>
      <c r="G12" s="235">
        <v>2</v>
      </c>
      <c r="H12" s="231">
        <v>2</v>
      </c>
      <c r="I12" s="235">
        <v>2</v>
      </c>
      <c r="J12" s="231">
        <v>2</v>
      </c>
      <c r="K12" s="235">
        <v>2</v>
      </c>
      <c r="L12" s="231">
        <v>2</v>
      </c>
      <c r="M12" s="235">
        <v>2</v>
      </c>
      <c r="N12" s="231">
        <v>2</v>
      </c>
      <c r="O12" s="232">
        <f t="shared" si="0"/>
        <v>10</v>
      </c>
      <c r="P12" s="255">
        <f t="shared" si="1"/>
        <v>10</v>
      </c>
      <c r="Q12" s="21"/>
    </row>
    <row r="13" spans="1:17" ht="12.75">
      <c r="A13" s="166" t="str">
        <f>IF('Demog &amp; vision'!A12="","",'Demog &amp; vision'!A12)</f>
        <v>NV8</v>
      </c>
      <c r="B13" s="241" t="str">
        <f>IF('Demog &amp; vision'!F12="","",'Demog &amp; vision'!F12)</f>
        <v>"Right"</v>
      </c>
      <c r="C13" s="155" t="s">
        <v>19</v>
      </c>
      <c r="D13" s="19" t="s">
        <v>19</v>
      </c>
      <c r="E13" s="235">
        <v>2</v>
      </c>
      <c r="F13" s="231">
        <v>2</v>
      </c>
      <c r="G13" s="235">
        <v>2</v>
      </c>
      <c r="H13" s="231">
        <v>2</v>
      </c>
      <c r="I13" s="235">
        <v>2</v>
      </c>
      <c r="J13" s="231">
        <v>2</v>
      </c>
      <c r="K13" s="235">
        <v>2</v>
      </c>
      <c r="L13" s="231">
        <v>2</v>
      </c>
      <c r="M13" s="235">
        <v>2</v>
      </c>
      <c r="N13" s="231">
        <v>2</v>
      </c>
      <c r="O13" s="232">
        <f t="shared" si="0"/>
        <v>10</v>
      </c>
      <c r="P13" s="255">
        <f t="shared" si="1"/>
        <v>10</v>
      </c>
      <c r="Q13" s="21"/>
    </row>
    <row r="14" spans="1:17" ht="12.75">
      <c r="A14" s="166" t="str">
        <f>IF('Demog &amp; vision'!A13="","",'Demog &amp; vision'!A13)</f>
        <v>NV9</v>
      </c>
      <c r="B14" s="241" t="str">
        <f>IF('Demog &amp; vision'!F13="","",'Demog &amp; vision'!F13)</f>
        <v>"Right"</v>
      </c>
      <c r="C14" s="155" t="s">
        <v>19</v>
      </c>
      <c r="D14" s="19" t="s">
        <v>19</v>
      </c>
      <c r="E14" s="235">
        <v>2</v>
      </c>
      <c r="F14" s="231">
        <v>2</v>
      </c>
      <c r="G14" s="235">
        <v>2</v>
      </c>
      <c r="H14" s="231">
        <v>2</v>
      </c>
      <c r="I14" s="235">
        <v>2</v>
      </c>
      <c r="J14" s="231">
        <v>2</v>
      </c>
      <c r="K14" s="235">
        <v>2</v>
      </c>
      <c r="L14" s="231">
        <v>2</v>
      </c>
      <c r="M14" s="235">
        <v>2</v>
      </c>
      <c r="N14" s="231">
        <v>2</v>
      </c>
      <c r="O14" s="232">
        <f t="shared" si="0"/>
        <v>10</v>
      </c>
      <c r="P14" s="255">
        <f t="shared" si="1"/>
        <v>10</v>
      </c>
      <c r="Q14" s="21"/>
    </row>
    <row r="15" spans="1:17" ht="12.75">
      <c r="A15" s="166" t="str">
        <f>IF('Demog &amp; vision'!A14="","",'Demog &amp; vision'!A14)</f>
        <v>NV10</v>
      </c>
      <c r="B15" s="241" t="str">
        <f>IF('Demog &amp; vision'!F14="","",'Demog &amp; vision'!F14)</f>
        <v>"Right"</v>
      </c>
      <c r="C15" s="155" t="s">
        <v>19</v>
      </c>
      <c r="D15" s="19" t="s">
        <v>19</v>
      </c>
      <c r="E15" s="235">
        <v>2</v>
      </c>
      <c r="F15" s="231">
        <v>2</v>
      </c>
      <c r="G15" s="235">
        <v>1</v>
      </c>
      <c r="H15" s="231">
        <v>2</v>
      </c>
      <c r="I15" s="235">
        <v>2</v>
      </c>
      <c r="J15" s="231">
        <v>2</v>
      </c>
      <c r="K15" s="235">
        <v>2</v>
      </c>
      <c r="L15" s="231">
        <v>2</v>
      </c>
      <c r="M15" s="235">
        <v>2</v>
      </c>
      <c r="N15" s="231">
        <v>2</v>
      </c>
      <c r="O15" s="232">
        <f t="shared" si="0"/>
        <v>9</v>
      </c>
      <c r="P15" s="255">
        <f t="shared" si="1"/>
        <v>10</v>
      </c>
      <c r="Q15" s="21"/>
    </row>
    <row r="16" spans="1:17" ht="12.75">
      <c r="A16" s="166" t="str">
        <f>IF('Demog &amp; vision'!A15="","",'Demog &amp; vision'!A15)</f>
        <v>NV11</v>
      </c>
      <c r="B16" s="241" t="str">
        <f>IF('Demog &amp; vision'!F15="","",'Demog &amp; vision'!F15)</f>
        <v>"Right"</v>
      </c>
      <c r="C16" s="155" t="s">
        <v>19</v>
      </c>
      <c r="D16" s="19" t="s">
        <v>19</v>
      </c>
      <c r="E16" s="235">
        <v>2</v>
      </c>
      <c r="F16" s="231">
        <v>2</v>
      </c>
      <c r="G16" s="235">
        <v>1</v>
      </c>
      <c r="H16" s="231">
        <v>2</v>
      </c>
      <c r="I16" s="235">
        <v>2</v>
      </c>
      <c r="J16" s="231">
        <v>2</v>
      </c>
      <c r="K16" s="235">
        <v>2</v>
      </c>
      <c r="L16" s="231">
        <v>2</v>
      </c>
      <c r="M16" s="235">
        <v>1</v>
      </c>
      <c r="N16" s="231">
        <v>2</v>
      </c>
      <c r="O16" s="232">
        <f t="shared" si="0"/>
        <v>8</v>
      </c>
      <c r="P16" s="255">
        <f t="shared" si="1"/>
        <v>10</v>
      </c>
      <c r="Q16" s="21"/>
    </row>
    <row r="17" spans="1:17" ht="12.75">
      <c r="A17" s="178" t="str">
        <f>IF('Demog &amp; vision'!A16="","",'Demog &amp; vision'!A16)</f>
        <v>NV12</v>
      </c>
      <c r="B17" s="282" t="str">
        <f>IF('Demog &amp; vision'!F16="","",'Demog &amp; vision'!F16)</f>
        <v>"Right"</v>
      </c>
      <c r="C17" s="22" t="s">
        <v>19</v>
      </c>
      <c r="D17" s="334" t="s">
        <v>19</v>
      </c>
      <c r="E17" s="249">
        <v>2</v>
      </c>
      <c r="F17" s="250">
        <v>2</v>
      </c>
      <c r="G17" s="249">
        <v>1</v>
      </c>
      <c r="H17" s="250">
        <v>2</v>
      </c>
      <c r="I17" s="249">
        <v>2</v>
      </c>
      <c r="J17" s="250">
        <v>2</v>
      </c>
      <c r="K17" s="249">
        <v>2</v>
      </c>
      <c r="L17" s="250">
        <v>2</v>
      </c>
      <c r="M17" s="249">
        <v>1</v>
      </c>
      <c r="N17" s="250">
        <v>2</v>
      </c>
      <c r="O17" s="251">
        <f t="shared" si="0"/>
        <v>8</v>
      </c>
      <c r="P17" s="263">
        <f t="shared" si="1"/>
        <v>10</v>
      </c>
      <c r="Q17" s="21"/>
    </row>
    <row r="18" spans="1:17" ht="12.75">
      <c r="A18" s="190">
        <f>IF('Demog &amp; vision'!A17="","",'Demog &amp; vision'!A17)</f>
      </c>
      <c r="B18" s="300">
        <f>IF('Demog &amp; vision'!F17="","",'Demog &amp; vision'!F17)</f>
      </c>
      <c r="C18" s="301"/>
      <c r="D18" s="302"/>
      <c r="E18" s="698" t="s">
        <v>168</v>
      </c>
      <c r="F18" s="689"/>
      <c r="G18" s="689"/>
      <c r="H18" s="689"/>
      <c r="I18" s="689"/>
      <c r="J18" s="689"/>
      <c r="K18" s="689"/>
      <c r="L18" s="689"/>
      <c r="M18" s="689"/>
      <c r="N18" s="689"/>
      <c r="O18" s="689"/>
      <c r="P18" s="690"/>
      <c r="Q18" s="21"/>
    </row>
    <row r="19" spans="1:17" ht="12.75">
      <c r="A19" s="297" t="str">
        <f>IF('Demog &amp; vision'!A18="","",'Demog &amp; vision'!A18)</f>
        <v>HH1</v>
      </c>
      <c r="B19" s="298" t="str">
        <f>IF('Demog &amp; vision'!F18="","",'Demog &amp; vision'!F18)</f>
        <v>Left</v>
      </c>
      <c r="C19" s="23" t="s">
        <v>25</v>
      </c>
      <c r="D19" s="103" t="s">
        <v>26</v>
      </c>
      <c r="E19" s="252">
        <v>2</v>
      </c>
      <c r="F19" s="247">
        <v>2</v>
      </c>
      <c r="G19" s="252">
        <v>2</v>
      </c>
      <c r="H19" s="247">
        <v>2</v>
      </c>
      <c r="I19" s="252">
        <v>2</v>
      </c>
      <c r="J19" s="253">
        <v>2</v>
      </c>
      <c r="K19" s="252">
        <v>0</v>
      </c>
      <c r="L19" s="253">
        <v>2</v>
      </c>
      <c r="M19" s="252">
        <v>2</v>
      </c>
      <c r="N19" s="253">
        <v>2</v>
      </c>
      <c r="O19" s="248">
        <f aca="true" t="shared" si="2" ref="O19:O30">SUM(E19,G19,I19,K19,M19)</f>
        <v>8</v>
      </c>
      <c r="P19" s="199">
        <f aca="true" t="shared" si="3" ref="P19:P30">SUM(F19,H19,J19,L19,N19)</f>
        <v>10</v>
      </c>
      <c r="Q19" s="21"/>
    </row>
    <row r="20" spans="1:17" ht="12.75">
      <c r="A20" s="166" t="str">
        <f>IF('Demog &amp; vision'!A19="","",'Demog &amp; vision'!A19)</f>
        <v>HH2</v>
      </c>
      <c r="B20" s="241" t="str">
        <f>IF('Demog &amp; vision'!F19="","",'Demog &amp; vision'!F19)</f>
        <v>Left</v>
      </c>
      <c r="C20" s="155" t="s">
        <v>25</v>
      </c>
      <c r="D20" s="19" t="s">
        <v>26</v>
      </c>
      <c r="E20" s="236">
        <v>1</v>
      </c>
      <c r="F20" s="231">
        <v>2</v>
      </c>
      <c r="G20" s="236">
        <v>2</v>
      </c>
      <c r="H20" s="231">
        <v>2</v>
      </c>
      <c r="I20" s="236">
        <v>2</v>
      </c>
      <c r="J20" s="237">
        <v>2</v>
      </c>
      <c r="K20" s="236">
        <v>2</v>
      </c>
      <c r="L20" s="237">
        <v>2</v>
      </c>
      <c r="M20" s="236">
        <v>2</v>
      </c>
      <c r="N20" s="237">
        <v>2</v>
      </c>
      <c r="O20" s="232">
        <f t="shared" si="2"/>
        <v>9</v>
      </c>
      <c r="P20" s="255">
        <f t="shared" si="3"/>
        <v>10</v>
      </c>
      <c r="Q20" s="21"/>
    </row>
    <row r="21" spans="1:17" ht="12.75">
      <c r="A21" s="166" t="str">
        <f>IF('Demog &amp; vision'!A20="","",'Demog &amp; vision'!A20)</f>
        <v>HH3</v>
      </c>
      <c r="B21" s="241" t="str">
        <f>IF('Demog &amp; vision'!F20="","",'Demog &amp; vision'!F20)</f>
        <v>Left</v>
      </c>
      <c r="C21" s="155" t="s">
        <v>25</v>
      </c>
      <c r="D21" s="19" t="s">
        <v>26</v>
      </c>
      <c r="E21" s="236">
        <v>0</v>
      </c>
      <c r="F21" s="231">
        <v>2</v>
      </c>
      <c r="G21" s="236">
        <v>1</v>
      </c>
      <c r="H21" s="231">
        <v>2</v>
      </c>
      <c r="I21" s="236">
        <v>2</v>
      </c>
      <c r="J21" s="237">
        <v>2</v>
      </c>
      <c r="K21" s="236">
        <v>2</v>
      </c>
      <c r="L21" s="237">
        <v>2</v>
      </c>
      <c r="M21" s="236">
        <v>2</v>
      </c>
      <c r="N21" s="237">
        <v>2</v>
      </c>
      <c r="O21" s="232">
        <f t="shared" si="2"/>
        <v>7</v>
      </c>
      <c r="P21" s="255">
        <f t="shared" si="3"/>
        <v>10</v>
      </c>
      <c r="Q21" s="21"/>
    </row>
    <row r="22" spans="1:17" ht="12.75">
      <c r="A22" s="166" t="str">
        <f>IF('Demog &amp; vision'!A21="","",'Demog &amp; vision'!A21)</f>
        <v>HH4</v>
      </c>
      <c r="B22" s="241" t="str">
        <f>IF('Demog &amp; vision'!F21="","",'Demog &amp; vision'!F21)</f>
        <v>Left</v>
      </c>
      <c r="C22" s="155" t="s">
        <v>25</v>
      </c>
      <c r="D22" s="19" t="s">
        <v>26</v>
      </c>
      <c r="E22" s="236">
        <v>0</v>
      </c>
      <c r="F22" s="231">
        <v>2</v>
      </c>
      <c r="G22" s="236">
        <v>0</v>
      </c>
      <c r="H22" s="231">
        <v>1</v>
      </c>
      <c r="I22" s="236">
        <v>2</v>
      </c>
      <c r="J22" s="237">
        <v>2</v>
      </c>
      <c r="K22" s="236">
        <v>1</v>
      </c>
      <c r="L22" s="237">
        <v>2</v>
      </c>
      <c r="M22" s="236">
        <v>1</v>
      </c>
      <c r="N22" s="237">
        <v>2</v>
      </c>
      <c r="O22" s="232">
        <f t="shared" si="2"/>
        <v>4</v>
      </c>
      <c r="P22" s="255">
        <f t="shared" si="3"/>
        <v>9</v>
      </c>
      <c r="Q22" s="21"/>
    </row>
    <row r="23" spans="1:17" ht="12.75">
      <c r="A23" s="166" t="str">
        <f>IF('Demog &amp; vision'!A22="","",'Demog &amp; vision'!A22)</f>
        <v>HH5</v>
      </c>
      <c r="B23" s="241" t="str">
        <f>IF('Demog &amp; vision'!F22="","",'Demog &amp; vision'!F22)</f>
        <v>Left</v>
      </c>
      <c r="C23" s="155" t="s">
        <v>25</v>
      </c>
      <c r="D23" s="19" t="s">
        <v>26</v>
      </c>
      <c r="E23" s="236">
        <v>0</v>
      </c>
      <c r="F23" s="231">
        <v>2</v>
      </c>
      <c r="G23" s="236">
        <v>1</v>
      </c>
      <c r="H23" s="231">
        <v>2</v>
      </c>
      <c r="I23" s="236">
        <v>2</v>
      </c>
      <c r="J23" s="237">
        <v>2</v>
      </c>
      <c r="K23" s="236">
        <v>2</v>
      </c>
      <c r="L23" s="237">
        <v>2</v>
      </c>
      <c r="M23" s="236">
        <v>1</v>
      </c>
      <c r="N23" s="237">
        <v>2</v>
      </c>
      <c r="O23" s="232">
        <f t="shared" si="2"/>
        <v>6</v>
      </c>
      <c r="P23" s="255">
        <f t="shared" si="3"/>
        <v>10</v>
      </c>
      <c r="Q23" s="21"/>
    </row>
    <row r="24" spans="1:17" ht="13.5" thickBot="1">
      <c r="A24" s="166" t="str">
        <f>IF('Demog &amp; vision'!A23="","",'Demog &amp; vision'!A23)</f>
        <v>HH6</v>
      </c>
      <c r="B24" s="241" t="str">
        <f>IF('Demog &amp; vision'!F23="","",'Demog &amp; vision'!F23)</f>
        <v>Left</v>
      </c>
      <c r="C24" s="155" t="s">
        <v>25</v>
      </c>
      <c r="D24" s="19" t="s">
        <v>26</v>
      </c>
      <c r="E24" s="236">
        <v>0</v>
      </c>
      <c r="F24" s="231">
        <v>2</v>
      </c>
      <c r="G24" s="236">
        <v>0</v>
      </c>
      <c r="H24" s="231">
        <v>2</v>
      </c>
      <c r="I24" s="236">
        <v>2</v>
      </c>
      <c r="J24" s="237">
        <v>2</v>
      </c>
      <c r="K24" s="236">
        <v>2</v>
      </c>
      <c r="L24" s="237">
        <v>2</v>
      </c>
      <c r="M24" s="574">
        <v>2</v>
      </c>
      <c r="N24" s="575">
        <v>2</v>
      </c>
      <c r="O24" s="251">
        <f t="shared" si="2"/>
        <v>6</v>
      </c>
      <c r="P24" s="263">
        <f t="shared" si="3"/>
        <v>10</v>
      </c>
      <c r="Q24" s="21"/>
    </row>
    <row r="25" spans="1:17" ht="13.5" thickBot="1">
      <c r="A25" s="166" t="str">
        <f>IF('Demog &amp; vision'!A24="","",'Demog &amp; vision'!A24)</f>
        <v>HH7</v>
      </c>
      <c r="B25" s="241" t="str">
        <f>IF('Demog &amp; vision'!F24="","",'Demog &amp; vision'!F24)</f>
        <v>Right</v>
      </c>
      <c r="C25" s="155" t="s">
        <v>25</v>
      </c>
      <c r="D25" s="19" t="s">
        <v>29</v>
      </c>
      <c r="E25" s="236">
        <v>2</v>
      </c>
      <c r="F25" s="231">
        <v>2</v>
      </c>
      <c r="G25" s="236">
        <v>1</v>
      </c>
      <c r="H25" s="231">
        <v>2</v>
      </c>
      <c r="I25" s="236">
        <v>1</v>
      </c>
      <c r="J25" s="237">
        <v>2</v>
      </c>
      <c r="K25" s="236">
        <v>1</v>
      </c>
      <c r="L25" s="231">
        <v>2</v>
      </c>
      <c r="M25" s="576">
        <v>0</v>
      </c>
      <c r="N25" s="577">
        <v>2</v>
      </c>
      <c r="O25" s="456">
        <f t="shared" si="2"/>
        <v>5</v>
      </c>
      <c r="P25" s="457">
        <f t="shared" si="3"/>
        <v>10</v>
      </c>
      <c r="Q25" s="21"/>
    </row>
    <row r="26" spans="1:17" ht="12.75">
      <c r="A26" s="166" t="str">
        <f>IF('Demog &amp; vision'!A25="","",'Demog &amp; vision'!A25)</f>
        <v>HH8</v>
      </c>
      <c r="B26" s="241" t="str">
        <f>IF('Demog &amp; vision'!F25="","",'Demog &amp; vision'!F25)</f>
        <v>Right</v>
      </c>
      <c r="C26" s="155" t="s">
        <v>25</v>
      </c>
      <c r="D26" s="19" t="s">
        <v>29</v>
      </c>
      <c r="E26" s="236">
        <v>2</v>
      </c>
      <c r="F26" s="231">
        <v>2</v>
      </c>
      <c r="G26" s="236">
        <v>2</v>
      </c>
      <c r="H26" s="231">
        <v>2</v>
      </c>
      <c r="I26" s="236">
        <v>2</v>
      </c>
      <c r="J26" s="237">
        <v>2</v>
      </c>
      <c r="K26" s="236">
        <v>1</v>
      </c>
      <c r="L26" s="237">
        <v>2</v>
      </c>
      <c r="M26" s="252">
        <v>0</v>
      </c>
      <c r="N26" s="253">
        <v>2</v>
      </c>
      <c r="O26" s="248">
        <f t="shared" si="2"/>
        <v>7</v>
      </c>
      <c r="P26" s="199">
        <f t="shared" si="3"/>
        <v>10</v>
      </c>
      <c r="Q26" s="21"/>
    </row>
    <row r="27" spans="1:17" ht="12.75">
      <c r="A27" s="166" t="str">
        <f>IF('Demog &amp; vision'!A26="","",'Demog &amp; vision'!A26)</f>
        <v>HH9</v>
      </c>
      <c r="B27" s="241" t="str">
        <f>IF('Demog &amp; vision'!F26="","",'Demog &amp; vision'!F26)</f>
        <v>Right</v>
      </c>
      <c r="C27" s="155" t="s">
        <v>25</v>
      </c>
      <c r="D27" s="19" t="s">
        <v>29</v>
      </c>
      <c r="E27" s="236">
        <v>2</v>
      </c>
      <c r="F27" s="231">
        <v>2</v>
      </c>
      <c r="G27" s="236">
        <v>2</v>
      </c>
      <c r="H27" s="231">
        <v>2</v>
      </c>
      <c r="I27" s="236">
        <v>2</v>
      </c>
      <c r="J27" s="237">
        <v>2</v>
      </c>
      <c r="K27" s="236">
        <v>1</v>
      </c>
      <c r="L27" s="237">
        <v>2</v>
      </c>
      <c r="M27" s="236">
        <v>0</v>
      </c>
      <c r="N27" s="237">
        <v>2</v>
      </c>
      <c r="O27" s="232">
        <f t="shared" si="2"/>
        <v>7</v>
      </c>
      <c r="P27" s="255">
        <f t="shared" si="3"/>
        <v>10</v>
      </c>
      <c r="Q27" s="21"/>
    </row>
    <row r="28" spans="1:17" ht="12.75">
      <c r="A28" s="166" t="str">
        <f>IF('Demog &amp; vision'!A27="","",'Demog &amp; vision'!A27)</f>
        <v>HH10</v>
      </c>
      <c r="B28" s="241" t="str">
        <f>IF('Demog &amp; vision'!F27="","",'Demog &amp; vision'!F27)</f>
        <v>Right</v>
      </c>
      <c r="C28" s="155" t="s">
        <v>25</v>
      </c>
      <c r="D28" s="19" t="s">
        <v>29</v>
      </c>
      <c r="E28" s="236">
        <v>2</v>
      </c>
      <c r="F28" s="231">
        <v>2</v>
      </c>
      <c r="G28" s="236">
        <v>2</v>
      </c>
      <c r="H28" s="231">
        <v>2</v>
      </c>
      <c r="I28" s="236">
        <v>2</v>
      </c>
      <c r="J28" s="237">
        <v>2</v>
      </c>
      <c r="K28" s="236">
        <v>2</v>
      </c>
      <c r="L28" s="237">
        <v>2</v>
      </c>
      <c r="M28" s="236">
        <v>1</v>
      </c>
      <c r="N28" s="237">
        <v>2</v>
      </c>
      <c r="O28" s="232">
        <f t="shared" si="2"/>
        <v>9</v>
      </c>
      <c r="P28" s="255">
        <f t="shared" si="3"/>
        <v>10</v>
      </c>
      <c r="Q28" s="21"/>
    </row>
    <row r="29" spans="1:17" ht="12.75">
      <c r="A29" s="166" t="str">
        <f>IF('Demog &amp; vision'!A28="","",'Demog &amp; vision'!A28)</f>
        <v>HH11</v>
      </c>
      <c r="B29" s="241" t="str">
        <f>IF('Demog &amp; vision'!F28="","",'Demog &amp; vision'!F28)</f>
        <v>Right</v>
      </c>
      <c r="C29" s="155" t="s">
        <v>25</v>
      </c>
      <c r="D29" s="19" t="s">
        <v>29</v>
      </c>
      <c r="E29" s="236">
        <v>0</v>
      </c>
      <c r="F29" s="231">
        <v>2</v>
      </c>
      <c r="G29" s="236">
        <v>0</v>
      </c>
      <c r="H29" s="231">
        <v>1</v>
      </c>
      <c r="I29" s="236">
        <v>1</v>
      </c>
      <c r="J29" s="237">
        <v>1</v>
      </c>
      <c r="K29" s="236">
        <v>1</v>
      </c>
      <c r="L29" s="237">
        <v>2</v>
      </c>
      <c r="M29" s="236">
        <v>0</v>
      </c>
      <c r="N29" s="237">
        <v>2</v>
      </c>
      <c r="O29" s="232">
        <f t="shared" si="2"/>
        <v>2</v>
      </c>
      <c r="P29" s="255">
        <f t="shared" si="3"/>
        <v>8</v>
      </c>
      <c r="Q29" s="21"/>
    </row>
    <row r="30" spans="1:17" ht="13.5" thickBot="1">
      <c r="A30" s="264" t="str">
        <f>IF('Demog &amp; vision'!A29="","",'Demog &amp; vision'!A29)</f>
        <v>HH12</v>
      </c>
      <c r="B30" s="265" t="str">
        <f>IF('Demog &amp; vision'!F29="","",'Demog &amp; vision'!F29)</f>
        <v>Right</v>
      </c>
      <c r="C30" s="35" t="s">
        <v>25</v>
      </c>
      <c r="D30" s="266" t="s">
        <v>29</v>
      </c>
      <c r="E30" s="267">
        <v>1</v>
      </c>
      <c r="F30" s="268">
        <v>2</v>
      </c>
      <c r="G30" s="267">
        <v>0</v>
      </c>
      <c r="H30" s="268">
        <v>2</v>
      </c>
      <c r="I30" s="267">
        <v>2</v>
      </c>
      <c r="J30" s="269">
        <v>2</v>
      </c>
      <c r="K30" s="267">
        <v>1</v>
      </c>
      <c r="L30" s="269">
        <v>2</v>
      </c>
      <c r="M30" s="267">
        <v>0</v>
      </c>
      <c r="N30" s="269">
        <v>2</v>
      </c>
      <c r="O30" s="259">
        <f t="shared" si="2"/>
        <v>4</v>
      </c>
      <c r="P30" s="201">
        <f t="shared" si="3"/>
        <v>10</v>
      </c>
      <c r="Q30" s="21"/>
    </row>
    <row r="31" spans="1:17" ht="14.25">
      <c r="A31" s="229"/>
      <c r="B31" s="23"/>
      <c r="C31" s="240"/>
      <c r="D31" s="260" t="s">
        <v>88</v>
      </c>
      <c r="E31" s="763" t="s">
        <v>192</v>
      </c>
      <c r="F31" s="780"/>
      <c r="G31" s="763" t="s">
        <v>193</v>
      </c>
      <c r="H31" s="780"/>
      <c r="I31" s="763" t="s">
        <v>194</v>
      </c>
      <c r="J31" s="763"/>
      <c r="K31" s="763" t="s">
        <v>195</v>
      </c>
      <c r="L31" s="763"/>
      <c r="M31" s="763" t="s">
        <v>196</v>
      </c>
      <c r="N31" s="763"/>
      <c r="O31" s="763" t="s">
        <v>90</v>
      </c>
      <c r="P31" s="779"/>
      <c r="Q31" s="21"/>
    </row>
    <row r="32" spans="1:17" ht="12.75">
      <c r="A32" s="130"/>
      <c r="C32" s="230"/>
      <c r="D32" s="254" t="s">
        <v>197</v>
      </c>
      <c r="E32" s="238">
        <f aca="true" t="shared" si="4" ref="E32:P32">SUM(E6:E17)</f>
        <v>24</v>
      </c>
      <c r="F32" s="233">
        <f t="shared" si="4"/>
        <v>24</v>
      </c>
      <c r="G32" s="238">
        <f t="shared" si="4"/>
        <v>18</v>
      </c>
      <c r="H32" s="233">
        <f t="shared" si="4"/>
        <v>24</v>
      </c>
      <c r="I32" s="238">
        <f t="shared" si="4"/>
        <v>24</v>
      </c>
      <c r="J32" s="239">
        <f t="shared" si="4"/>
        <v>24</v>
      </c>
      <c r="K32" s="238">
        <f t="shared" si="4"/>
        <v>23</v>
      </c>
      <c r="L32" s="239">
        <f t="shared" si="4"/>
        <v>24</v>
      </c>
      <c r="M32" s="238">
        <f t="shared" si="4"/>
        <v>21</v>
      </c>
      <c r="N32" s="239">
        <f t="shared" si="4"/>
        <v>24</v>
      </c>
      <c r="O32" s="234">
        <f t="shared" si="4"/>
        <v>110</v>
      </c>
      <c r="P32" s="255">
        <f t="shared" si="4"/>
        <v>120</v>
      </c>
      <c r="Q32" s="21"/>
    </row>
    <row r="33" spans="3:17" ht="12.75">
      <c r="C33" s="230"/>
      <c r="D33" s="254" t="s">
        <v>207</v>
      </c>
      <c r="E33" s="238">
        <f aca="true" t="shared" si="5" ref="E33:P33">SUM(E19:E24)</f>
        <v>3</v>
      </c>
      <c r="F33" s="233">
        <f t="shared" si="5"/>
        <v>12</v>
      </c>
      <c r="G33" s="238">
        <f t="shared" si="5"/>
        <v>6</v>
      </c>
      <c r="H33" s="233">
        <f t="shared" si="5"/>
        <v>11</v>
      </c>
      <c r="I33" s="238">
        <f t="shared" si="5"/>
        <v>12</v>
      </c>
      <c r="J33" s="239">
        <f t="shared" si="5"/>
        <v>12</v>
      </c>
      <c r="K33" s="238">
        <f t="shared" si="5"/>
        <v>9</v>
      </c>
      <c r="L33" s="239">
        <f t="shared" si="5"/>
        <v>12</v>
      </c>
      <c r="M33" s="238">
        <f t="shared" si="5"/>
        <v>10</v>
      </c>
      <c r="N33" s="239">
        <f t="shared" si="5"/>
        <v>12</v>
      </c>
      <c r="O33" s="232">
        <f t="shared" si="5"/>
        <v>40</v>
      </c>
      <c r="P33" s="255">
        <f t="shared" si="5"/>
        <v>59</v>
      </c>
      <c r="Q33" s="21"/>
    </row>
    <row r="34" spans="3:17" ht="13.5" thickBot="1">
      <c r="C34" s="230"/>
      <c r="D34" s="256" t="s">
        <v>208</v>
      </c>
      <c r="E34" s="257">
        <f aca="true" t="shared" si="6" ref="E34:P34">SUM(E25:E30)</f>
        <v>9</v>
      </c>
      <c r="F34" s="209">
        <f t="shared" si="6"/>
        <v>12</v>
      </c>
      <c r="G34" s="257">
        <f t="shared" si="6"/>
        <v>7</v>
      </c>
      <c r="H34" s="209">
        <f t="shared" si="6"/>
        <v>11</v>
      </c>
      <c r="I34" s="257">
        <f t="shared" si="6"/>
        <v>10</v>
      </c>
      <c r="J34" s="258">
        <f t="shared" si="6"/>
        <v>11</v>
      </c>
      <c r="K34" s="257">
        <f t="shared" si="6"/>
        <v>7</v>
      </c>
      <c r="L34" s="258">
        <f t="shared" si="6"/>
        <v>12</v>
      </c>
      <c r="M34" s="257">
        <f t="shared" si="6"/>
        <v>1</v>
      </c>
      <c r="N34" s="258">
        <f t="shared" si="6"/>
        <v>12</v>
      </c>
      <c r="O34" s="259">
        <f t="shared" si="6"/>
        <v>34</v>
      </c>
      <c r="P34" s="201">
        <f t="shared" si="6"/>
        <v>58</v>
      </c>
      <c r="Q34" s="21"/>
    </row>
    <row r="35" spans="4:16" ht="13.5" thickBot="1">
      <c r="D35" s="271"/>
      <c r="E35" s="106"/>
      <c r="F35" s="106"/>
      <c r="G35" s="106"/>
      <c r="H35" s="106"/>
      <c r="I35" s="106"/>
      <c r="J35" s="106"/>
      <c r="K35" s="23"/>
      <c r="L35" s="23"/>
      <c r="M35" s="23"/>
      <c r="N35" s="23"/>
      <c r="O35" s="23"/>
      <c r="P35" s="23"/>
    </row>
    <row r="36" spans="3:11" ht="13.5" thickBot="1">
      <c r="C36" s="230"/>
      <c r="D36" s="355" t="s">
        <v>255</v>
      </c>
      <c r="E36" s="276" t="s">
        <v>89</v>
      </c>
      <c r="F36" s="277"/>
      <c r="G36" s="277"/>
      <c r="H36" s="277"/>
      <c r="I36" s="277"/>
      <c r="J36" s="278"/>
      <c r="K36" s="21"/>
    </row>
    <row r="37" spans="3:17" ht="14.25">
      <c r="C37" s="230"/>
      <c r="D37" s="356"/>
      <c r="E37" s="273" t="s">
        <v>192</v>
      </c>
      <c r="F37" s="273" t="s">
        <v>193</v>
      </c>
      <c r="G37" s="273" t="s">
        <v>194</v>
      </c>
      <c r="H37" s="273" t="s">
        <v>195</v>
      </c>
      <c r="I37" s="273" t="s">
        <v>196</v>
      </c>
      <c r="J37" s="274" t="s">
        <v>90</v>
      </c>
      <c r="K37" s="21"/>
      <c r="L37" s="19"/>
      <c r="M37" s="764" t="s">
        <v>248</v>
      </c>
      <c r="N37" s="765"/>
      <c r="O37" s="765"/>
      <c r="P37" s="766"/>
      <c r="Q37" s="21"/>
    </row>
    <row r="38" spans="3:17" ht="12.75">
      <c r="C38" s="230"/>
      <c r="D38" s="254" t="s">
        <v>197</v>
      </c>
      <c r="E38" s="242">
        <f>E32/F32*100</f>
        <v>100</v>
      </c>
      <c r="F38" s="242">
        <f>G32/H32*100</f>
        <v>75</v>
      </c>
      <c r="G38" s="242">
        <f>I32/J32*100</f>
        <v>100</v>
      </c>
      <c r="H38" s="242">
        <f>K32/L32*100</f>
        <v>95.83333333333334</v>
      </c>
      <c r="I38" s="242">
        <f>M32/N32*100</f>
        <v>87.5</v>
      </c>
      <c r="J38" s="255">
        <f>O32/P32*100</f>
        <v>91.66666666666666</v>
      </c>
      <c r="K38" s="21"/>
      <c r="L38" s="19"/>
      <c r="M38" s="767"/>
      <c r="N38" s="768"/>
      <c r="O38" s="768"/>
      <c r="P38" s="769"/>
      <c r="Q38" s="21"/>
    </row>
    <row r="39" spans="3:17" ht="13.5" thickBot="1">
      <c r="C39" s="230"/>
      <c r="D39" s="254" t="s">
        <v>198</v>
      </c>
      <c r="E39" s="242">
        <f>E33/F33*100</f>
        <v>25</v>
      </c>
      <c r="F39" s="242">
        <f>G33/H33*100</f>
        <v>54.54545454545454</v>
      </c>
      <c r="G39" s="242">
        <f>I33/J33*100</f>
        <v>100</v>
      </c>
      <c r="H39" s="242">
        <f>K33/L33*100</f>
        <v>75</v>
      </c>
      <c r="I39" s="242">
        <f>M33/N33*100</f>
        <v>83.33333333333334</v>
      </c>
      <c r="J39" s="255">
        <f>O33/P33*100</f>
        <v>67.79661016949152</v>
      </c>
      <c r="K39" s="21"/>
      <c r="L39" s="19"/>
      <c r="M39" s="770"/>
      <c r="N39" s="771"/>
      <c r="O39" s="771"/>
      <c r="P39" s="772"/>
      <c r="Q39" s="21"/>
    </row>
    <row r="40" spans="3:16" ht="13.5" thickBot="1">
      <c r="C40" s="230"/>
      <c r="D40" s="256" t="s">
        <v>199</v>
      </c>
      <c r="E40" s="200">
        <f>E34/F34*100</f>
        <v>75</v>
      </c>
      <c r="F40" s="200">
        <f>G34/H34*100</f>
        <v>63.63636363636363</v>
      </c>
      <c r="G40" s="200">
        <f>I34/J34*100</f>
        <v>90.9090909090909</v>
      </c>
      <c r="H40" s="200">
        <f>K34/L34*100</f>
        <v>58.333333333333336</v>
      </c>
      <c r="I40" s="200">
        <f>M34/N34*100</f>
        <v>8.333333333333332</v>
      </c>
      <c r="J40" s="201">
        <f>O34/P34*100</f>
        <v>58.620689655172406</v>
      </c>
      <c r="K40" s="21"/>
      <c r="M40" s="23"/>
      <c r="N40" s="23"/>
      <c r="O40" s="23"/>
      <c r="P40" s="23"/>
    </row>
    <row r="41" spans="4:10" ht="12.75">
      <c r="D41" s="229"/>
      <c r="E41" s="23"/>
      <c r="F41" s="23"/>
      <c r="G41" s="23"/>
      <c r="H41" s="23"/>
      <c r="I41" s="23"/>
      <c r="J41" s="23"/>
    </row>
    <row r="42" spans="5:19" ht="13.5" thickBot="1">
      <c r="E42" s="5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5:20" ht="12.75">
      <c r="E43" s="19"/>
      <c r="F43" s="657"/>
      <c r="G43" s="658"/>
      <c r="H43" s="658"/>
      <c r="I43" s="658"/>
      <c r="J43" s="658"/>
      <c r="K43" s="658"/>
      <c r="L43" s="658"/>
      <c r="M43" s="658"/>
      <c r="N43" s="658"/>
      <c r="O43" s="658"/>
      <c r="P43" s="658"/>
      <c r="Q43" s="658"/>
      <c r="R43" s="658"/>
      <c r="S43" s="659"/>
      <c r="T43" s="21"/>
    </row>
    <row r="44" spans="5:20" ht="12.75">
      <c r="E44" s="19"/>
      <c r="F44" s="27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28"/>
      <c r="T44" s="21"/>
    </row>
    <row r="45" spans="5:20" ht="12.75">
      <c r="E45" s="19"/>
      <c r="F45" s="27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28"/>
      <c r="T45" s="21"/>
    </row>
    <row r="46" spans="5:20" ht="12.75">
      <c r="E46" s="19"/>
      <c r="F46" s="27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28"/>
      <c r="T46" s="21"/>
    </row>
    <row r="47" spans="5:20" ht="12.75">
      <c r="E47" s="19"/>
      <c r="F47" s="27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28"/>
      <c r="T47" s="21"/>
    </row>
    <row r="48" spans="5:20" ht="12.75">
      <c r="E48" s="19"/>
      <c r="F48" s="27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28"/>
      <c r="T48" s="21"/>
    </row>
    <row r="49" spans="5:20" ht="12.75">
      <c r="E49" s="19"/>
      <c r="F49" s="27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28"/>
      <c r="T49" s="21"/>
    </row>
    <row r="50" spans="5:20" ht="12.75">
      <c r="E50" s="19"/>
      <c r="F50" s="27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28"/>
      <c r="T50" s="21"/>
    </row>
    <row r="51" spans="5:20" ht="12.75">
      <c r="E51" s="19"/>
      <c r="F51" s="27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28"/>
      <c r="T51" s="21"/>
    </row>
    <row r="52" spans="5:20" ht="12.75">
      <c r="E52" s="19"/>
      <c r="F52" s="27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28"/>
      <c r="T52" s="21"/>
    </row>
    <row r="53" spans="5:20" ht="12.75">
      <c r="E53" s="19"/>
      <c r="F53" s="27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28"/>
      <c r="T53" s="21"/>
    </row>
    <row r="54" spans="5:20" ht="12.75">
      <c r="E54" s="19"/>
      <c r="F54" s="27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28"/>
      <c r="T54" s="21"/>
    </row>
    <row r="55" spans="5:20" ht="12.75">
      <c r="E55" s="19"/>
      <c r="F55" s="27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28"/>
      <c r="T55" s="21"/>
    </row>
    <row r="56" spans="5:20" ht="12.75">
      <c r="E56" s="19"/>
      <c r="F56" s="27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28"/>
      <c r="T56" s="21"/>
    </row>
    <row r="57" spans="5:20" ht="18.75">
      <c r="E57" s="19"/>
      <c r="F57" s="660" t="s">
        <v>272</v>
      </c>
      <c r="G57" s="661"/>
      <c r="H57" s="661"/>
      <c r="I57" s="661"/>
      <c r="J57" s="661"/>
      <c r="K57" s="661"/>
      <c r="L57" s="661"/>
      <c r="M57" s="661"/>
      <c r="N57" s="661"/>
      <c r="O57" s="661"/>
      <c r="P57" s="661"/>
      <c r="Q57" s="661"/>
      <c r="R57" s="661"/>
      <c r="S57" s="662"/>
      <c r="T57" s="21"/>
    </row>
    <row r="58" spans="2:20" ht="14.25">
      <c r="B58"/>
      <c r="E58" s="19"/>
      <c r="F58" s="663" t="s">
        <v>273</v>
      </c>
      <c r="G58" s="661"/>
      <c r="H58" s="661"/>
      <c r="I58" s="661"/>
      <c r="J58" s="661"/>
      <c r="K58" s="661"/>
      <c r="L58" s="661"/>
      <c r="M58" s="661"/>
      <c r="N58" s="661"/>
      <c r="O58" s="661"/>
      <c r="P58" s="661"/>
      <c r="Q58" s="661"/>
      <c r="R58" s="661"/>
      <c r="S58" s="662"/>
      <c r="T58" s="21"/>
    </row>
    <row r="59" spans="2:20" ht="14.25">
      <c r="B59"/>
      <c r="E59" s="19"/>
      <c r="F59" s="663" t="s">
        <v>274</v>
      </c>
      <c r="G59" s="661"/>
      <c r="H59" s="661"/>
      <c r="I59" s="661"/>
      <c r="J59" s="661"/>
      <c r="K59" s="661"/>
      <c r="L59" s="661"/>
      <c r="M59" s="661"/>
      <c r="N59" s="661"/>
      <c r="O59" s="661"/>
      <c r="P59" s="661"/>
      <c r="Q59" s="661"/>
      <c r="R59" s="661"/>
      <c r="S59" s="662"/>
      <c r="T59" s="21"/>
    </row>
    <row r="60" spans="5:20" ht="15" thickBot="1">
      <c r="E60" s="19"/>
      <c r="F60" s="664" t="s">
        <v>275</v>
      </c>
      <c r="G60" s="665"/>
      <c r="H60" s="665"/>
      <c r="I60" s="665"/>
      <c r="J60" s="665"/>
      <c r="K60" s="665"/>
      <c r="L60" s="665"/>
      <c r="M60" s="665"/>
      <c r="N60" s="665"/>
      <c r="O60" s="665"/>
      <c r="P60" s="665"/>
      <c r="Q60" s="665"/>
      <c r="R60" s="665"/>
      <c r="S60" s="666"/>
      <c r="T60" s="21"/>
    </row>
    <row r="61" spans="6:19" ht="12.75"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</sheetData>
  <mergeCells count="21">
    <mergeCell ref="O31:P31"/>
    <mergeCell ref="E18:P18"/>
    <mergeCell ref="E5:P5"/>
    <mergeCell ref="E31:F31"/>
    <mergeCell ref="G31:H31"/>
    <mergeCell ref="I31:J31"/>
    <mergeCell ref="K31:L31"/>
    <mergeCell ref="E1:N1"/>
    <mergeCell ref="K2:L2"/>
    <mergeCell ref="M2:N2"/>
    <mergeCell ref="G2:H2"/>
    <mergeCell ref="I2:J2"/>
    <mergeCell ref="M31:N31"/>
    <mergeCell ref="M37:P39"/>
    <mergeCell ref="A1:A2"/>
    <mergeCell ref="C2:D2"/>
    <mergeCell ref="B2:B3"/>
    <mergeCell ref="E2:F2"/>
    <mergeCell ref="O2:P2"/>
    <mergeCell ref="B1:D1"/>
    <mergeCell ref="O1:P1"/>
  </mergeCells>
  <printOptions/>
  <pageMargins left="0.75" right="0.75" top="1" bottom="1" header="0.5" footer="0.5"/>
  <pageSetup horizontalDpi="600" verticalDpi="600" orientation="portrait" r:id="rId2"/>
  <ignoredErrors>
    <ignoredError sqref="E33:O34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6"/>
  <sheetViews>
    <sheetView zoomScale="75" zoomScaleNormal="75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M46" sqref="M46"/>
    </sheetView>
  </sheetViews>
  <sheetFormatPr defaultColWidth="9.140625" defaultRowHeight="12.75"/>
  <cols>
    <col min="1" max="1" width="14.00390625" style="0" customWidth="1"/>
    <col min="2" max="2" width="11.8515625" style="0" customWidth="1"/>
    <col min="5" max="5" width="10.140625" style="8" customWidth="1"/>
    <col min="6" max="6" width="9.140625" style="8" customWidth="1"/>
    <col min="7" max="7" width="12.7109375" style="8" customWidth="1"/>
    <col min="8" max="8" width="9.140625" style="8" customWidth="1"/>
    <col min="9" max="9" width="10.7109375" style="8" customWidth="1"/>
    <col min="10" max="10" width="11.421875" style="8" customWidth="1"/>
    <col min="11" max="30" width="9.140625" style="8" customWidth="1"/>
  </cols>
  <sheetData>
    <row r="1" spans="1:27" ht="47.25" customHeight="1">
      <c r="A1" s="685" t="str">
        <f>IF('Demog &amp; vision'!A1="","",'Demog &amp; vision'!A1)</f>
        <v>Simulator-driving with hemianopia:
1. Detection performance</v>
      </c>
      <c r="B1" s="775" t="s">
        <v>200</v>
      </c>
      <c r="C1" s="797"/>
      <c r="D1" s="797"/>
      <c r="E1" s="778" t="s">
        <v>91</v>
      </c>
      <c r="F1" s="778"/>
      <c r="G1" s="778"/>
      <c r="H1" s="778"/>
      <c r="I1" s="778"/>
      <c r="J1" s="778"/>
      <c r="K1" s="778"/>
      <c r="L1" s="778"/>
      <c r="M1" s="788" t="s">
        <v>201</v>
      </c>
      <c r="N1" s="789"/>
      <c r="O1" s="335"/>
      <c r="P1" s="791" t="s">
        <v>205</v>
      </c>
      <c r="Q1" s="686"/>
      <c r="R1" s="686"/>
      <c r="S1" s="686"/>
      <c r="T1" s="686"/>
      <c r="U1" s="686"/>
      <c r="V1" s="686"/>
      <c r="W1" s="686"/>
      <c r="X1" s="792" t="s">
        <v>201</v>
      </c>
      <c r="Y1" s="793"/>
      <c r="Z1" s="228"/>
      <c r="AA1" s="16"/>
    </row>
    <row r="2" spans="1:27" ht="38.25" customHeight="1">
      <c r="A2" s="733"/>
      <c r="B2" s="734" t="s">
        <v>31</v>
      </c>
      <c r="C2" s="721" t="s">
        <v>172</v>
      </c>
      <c r="D2" s="796"/>
      <c r="E2" s="738" t="s">
        <v>37</v>
      </c>
      <c r="F2" s="738"/>
      <c r="G2" s="738" t="s">
        <v>40</v>
      </c>
      <c r="H2" s="738"/>
      <c r="I2" s="738" t="s">
        <v>41</v>
      </c>
      <c r="J2" s="738"/>
      <c r="K2" s="738" t="s">
        <v>42</v>
      </c>
      <c r="L2" s="738"/>
      <c r="M2" s="735"/>
      <c r="N2" s="790"/>
      <c r="O2" s="336"/>
      <c r="P2" s="795" t="s">
        <v>37</v>
      </c>
      <c r="Q2" s="688"/>
      <c r="R2" s="688" t="s">
        <v>40</v>
      </c>
      <c r="S2" s="688"/>
      <c r="T2" s="688" t="s">
        <v>41</v>
      </c>
      <c r="U2" s="688"/>
      <c r="V2" s="688" t="s">
        <v>42</v>
      </c>
      <c r="W2" s="688"/>
      <c r="X2" s="737"/>
      <c r="Y2" s="794"/>
      <c r="Z2" s="228"/>
      <c r="AA2" s="16"/>
    </row>
    <row r="3" spans="1:29" ht="38.25">
      <c r="A3" s="275" t="str">
        <f>IF('Demog &amp; vision'!A3="","",'Demog &amp; vision'!A3)</f>
        <v>Subject ID</v>
      </c>
      <c r="B3" s="734"/>
      <c r="C3" s="14" t="s">
        <v>173</v>
      </c>
      <c r="D3" s="283" t="s">
        <v>174</v>
      </c>
      <c r="E3" s="284" t="s">
        <v>38</v>
      </c>
      <c r="F3" s="284" t="s">
        <v>39</v>
      </c>
      <c r="G3" s="284" t="s">
        <v>38</v>
      </c>
      <c r="H3" s="285" t="s">
        <v>39</v>
      </c>
      <c r="I3" s="284" t="s">
        <v>38</v>
      </c>
      <c r="J3" s="284" t="s">
        <v>39</v>
      </c>
      <c r="K3" s="284" t="s">
        <v>38</v>
      </c>
      <c r="L3" s="285" t="s">
        <v>39</v>
      </c>
      <c r="M3" s="288" t="s">
        <v>38</v>
      </c>
      <c r="N3" s="324" t="s">
        <v>39</v>
      </c>
      <c r="O3" s="337"/>
      <c r="P3" s="323" t="s">
        <v>38</v>
      </c>
      <c r="Q3" s="286" t="s">
        <v>39</v>
      </c>
      <c r="R3" s="286" t="s">
        <v>38</v>
      </c>
      <c r="S3" s="287" t="s">
        <v>39</v>
      </c>
      <c r="T3" s="286" t="s">
        <v>38</v>
      </c>
      <c r="U3" s="286" t="s">
        <v>39</v>
      </c>
      <c r="V3" s="286" t="s">
        <v>38</v>
      </c>
      <c r="W3" s="287" t="s">
        <v>39</v>
      </c>
      <c r="X3" s="289" t="s">
        <v>38</v>
      </c>
      <c r="Y3" s="303" t="s">
        <v>39</v>
      </c>
      <c r="Z3" s="21"/>
      <c r="AA3" s="279"/>
      <c r="AB3" s="12"/>
      <c r="AC3" s="12"/>
    </row>
    <row r="4" spans="1:29" ht="12.75">
      <c r="A4" s="294"/>
      <c r="B4" s="295"/>
      <c r="C4" s="296"/>
      <c r="D4" s="296"/>
      <c r="E4" s="290" t="s">
        <v>0</v>
      </c>
      <c r="F4" s="290" t="s">
        <v>2</v>
      </c>
      <c r="G4" s="290" t="s">
        <v>4</v>
      </c>
      <c r="H4" s="291" t="s">
        <v>6</v>
      </c>
      <c r="I4" s="292" t="s">
        <v>8</v>
      </c>
      <c r="J4" s="292" t="s">
        <v>10</v>
      </c>
      <c r="K4" s="292" t="s">
        <v>12</v>
      </c>
      <c r="L4" s="293" t="s">
        <v>14</v>
      </c>
      <c r="M4" s="293"/>
      <c r="N4" s="293"/>
      <c r="O4" s="293"/>
      <c r="P4" s="293" t="s">
        <v>1</v>
      </c>
      <c r="Q4" s="293" t="s">
        <v>3</v>
      </c>
      <c r="R4" s="293" t="s">
        <v>5</v>
      </c>
      <c r="S4" s="293" t="s">
        <v>7</v>
      </c>
      <c r="T4" s="293" t="s">
        <v>9</v>
      </c>
      <c r="U4" s="293" t="s">
        <v>11</v>
      </c>
      <c r="V4" s="293" t="s">
        <v>13</v>
      </c>
      <c r="W4" s="293" t="s">
        <v>15</v>
      </c>
      <c r="X4" s="293"/>
      <c r="Y4" s="304"/>
      <c r="Z4" s="21"/>
      <c r="AA4" s="12"/>
      <c r="AB4" s="12"/>
      <c r="AC4" s="12"/>
    </row>
    <row r="5" spans="1:26" ht="12.75">
      <c r="A5" s="305"/>
      <c r="B5" s="300"/>
      <c r="C5" s="301"/>
      <c r="D5" s="302"/>
      <c r="E5" s="698" t="s">
        <v>167</v>
      </c>
      <c r="F5" s="689"/>
      <c r="G5" s="689"/>
      <c r="H5" s="689"/>
      <c r="I5" s="689"/>
      <c r="J5" s="689"/>
      <c r="K5" s="689"/>
      <c r="L5" s="689"/>
      <c r="M5" s="689"/>
      <c r="N5" s="689"/>
      <c r="O5" s="17"/>
      <c r="P5" s="689" t="s">
        <v>167</v>
      </c>
      <c r="Q5" s="689"/>
      <c r="R5" s="689"/>
      <c r="S5" s="689"/>
      <c r="T5" s="689"/>
      <c r="U5" s="689"/>
      <c r="V5" s="689"/>
      <c r="W5" s="689"/>
      <c r="X5" s="689"/>
      <c r="Y5" s="781"/>
      <c r="Z5" s="21"/>
    </row>
    <row r="6" spans="1:26" ht="12.75">
      <c r="A6" s="297" t="str">
        <f>IF('Demog &amp; vision'!A5="","",'Demog &amp; vision'!A5)</f>
        <v>NV1</v>
      </c>
      <c r="B6" s="298" t="str">
        <f>IF('Demog &amp; vision'!F5="","",'Demog &amp; vision'!F5)</f>
        <v>"Left"</v>
      </c>
      <c r="C6" s="298" t="str">
        <f>IF('I-Ped'!C6="","",'I-Ped'!C6)</f>
        <v>NV</v>
      </c>
      <c r="D6" s="298" t="str">
        <f>IF('I-Ped'!D6="","",'I-Ped'!D6)</f>
        <v>NV</v>
      </c>
      <c r="E6" s="171">
        <v>100</v>
      </c>
      <c r="F6" s="171">
        <v>100</v>
      </c>
      <c r="G6" s="171">
        <v>100</v>
      </c>
      <c r="H6" s="623">
        <v>100</v>
      </c>
      <c r="I6" s="171">
        <v>100</v>
      </c>
      <c r="J6" s="171">
        <v>100</v>
      </c>
      <c r="K6" s="171">
        <v>100</v>
      </c>
      <c r="L6" s="623">
        <v>83.33333333333333</v>
      </c>
      <c r="M6" s="623">
        <v>100</v>
      </c>
      <c r="N6" s="625">
        <v>95.83</v>
      </c>
      <c r="O6" s="601"/>
      <c r="P6" s="326">
        <v>0.733295</v>
      </c>
      <c r="Q6" s="172">
        <v>0.6666645</v>
      </c>
      <c r="R6" s="172">
        <v>0.7333069999999999</v>
      </c>
      <c r="S6" s="172">
        <v>0.733337</v>
      </c>
      <c r="T6" s="172">
        <v>0.666672</v>
      </c>
      <c r="U6" s="172">
        <v>0.699989</v>
      </c>
      <c r="V6" s="172">
        <v>0.733337</v>
      </c>
      <c r="W6" s="172">
        <v>0.8333284999999999</v>
      </c>
      <c r="X6" s="172">
        <v>0.73</v>
      </c>
      <c r="Y6" s="73">
        <v>0.75</v>
      </c>
      <c r="Z6" s="21"/>
    </row>
    <row r="7" spans="1:26" ht="12.75">
      <c r="A7" s="166" t="str">
        <f>IF('Demog &amp; vision'!A6="","",'Demog &amp; vision'!A6)</f>
        <v>NV2</v>
      </c>
      <c r="B7" s="241" t="str">
        <f>IF('Demog &amp; vision'!F6="","",'Demog &amp; vision'!F6)</f>
        <v>"Left"</v>
      </c>
      <c r="C7" s="241" t="str">
        <f>IF('I-Ped'!C7="","",'I-Ped'!C7)</f>
        <v>NV</v>
      </c>
      <c r="D7" s="241" t="str">
        <f>IF('I-Ped'!D7="","",'I-Ped'!D7)</f>
        <v>NV</v>
      </c>
      <c r="E7" s="156">
        <v>100</v>
      </c>
      <c r="F7" s="156">
        <v>100</v>
      </c>
      <c r="G7" s="156">
        <v>100</v>
      </c>
      <c r="H7" s="618">
        <v>100</v>
      </c>
      <c r="I7" s="156">
        <v>100</v>
      </c>
      <c r="J7" s="156">
        <v>100</v>
      </c>
      <c r="K7" s="156">
        <v>100</v>
      </c>
      <c r="L7" s="618">
        <v>83.33333333333333</v>
      </c>
      <c r="M7" s="618">
        <v>100</v>
      </c>
      <c r="N7" s="626">
        <v>95.83</v>
      </c>
      <c r="O7" s="338"/>
      <c r="P7" s="24">
        <v>0.666656</v>
      </c>
      <c r="Q7" s="157">
        <v>0.633331</v>
      </c>
      <c r="R7" s="157">
        <v>0.683319</v>
      </c>
      <c r="S7" s="157">
        <v>0.9333184999999999</v>
      </c>
      <c r="T7" s="157">
        <v>0.633323</v>
      </c>
      <c r="U7" s="157">
        <v>0.700001</v>
      </c>
      <c r="V7" s="157">
        <v>0.799987</v>
      </c>
      <c r="W7" s="157">
        <v>0.7666475</v>
      </c>
      <c r="X7" s="157">
        <v>0.67</v>
      </c>
      <c r="Y7" s="306">
        <v>0.7</v>
      </c>
      <c r="Z7" s="21"/>
    </row>
    <row r="8" spans="1:26" ht="12.75">
      <c r="A8" s="166" t="str">
        <f>IF('Demog &amp; vision'!A7="","",'Demog &amp; vision'!A7)</f>
        <v>NV3</v>
      </c>
      <c r="B8" s="241" t="str">
        <f>IF('Demog &amp; vision'!F7="","",'Demog &amp; vision'!F7)</f>
        <v>"Left"</v>
      </c>
      <c r="C8" s="241" t="str">
        <f>IF('I-Ped'!C8="","",'I-Ped'!C8)</f>
        <v>NV</v>
      </c>
      <c r="D8" s="241" t="str">
        <f>IF('I-Ped'!D8="","",'I-Ped'!D8)</f>
        <v>NV</v>
      </c>
      <c r="E8" s="156">
        <v>100</v>
      </c>
      <c r="F8" s="156">
        <v>100</v>
      </c>
      <c r="G8" s="156">
        <v>100</v>
      </c>
      <c r="H8" s="618">
        <v>91.66666666666667</v>
      </c>
      <c r="I8" s="156">
        <v>100</v>
      </c>
      <c r="J8" s="156">
        <v>100</v>
      </c>
      <c r="K8" s="156">
        <v>100</v>
      </c>
      <c r="L8" s="618">
        <v>83.33333333333333</v>
      </c>
      <c r="M8" s="618">
        <v>100</v>
      </c>
      <c r="N8" s="626">
        <v>93.75</v>
      </c>
      <c r="O8" s="338"/>
      <c r="P8" s="24">
        <v>0.8499909999999999</v>
      </c>
      <c r="Q8" s="157">
        <v>0.733333</v>
      </c>
      <c r="R8" s="157">
        <v>0.799988</v>
      </c>
      <c r="S8" s="157">
        <v>1.100006</v>
      </c>
      <c r="T8" s="157">
        <v>0.766663</v>
      </c>
      <c r="U8" s="157">
        <v>0.7666584999999999</v>
      </c>
      <c r="V8" s="157">
        <v>0.733337</v>
      </c>
      <c r="W8" s="157">
        <v>0.683327</v>
      </c>
      <c r="X8" s="157">
        <v>0.8</v>
      </c>
      <c r="Y8" s="306">
        <v>0.9</v>
      </c>
      <c r="Z8" s="21"/>
    </row>
    <row r="9" spans="1:26" ht="12.75">
      <c r="A9" s="166" t="str">
        <f>IF('Demog &amp; vision'!A8="","",'Demog &amp; vision'!A8)</f>
        <v>NV4</v>
      </c>
      <c r="B9" s="241" t="str">
        <f>IF('Demog &amp; vision'!F8="","",'Demog &amp; vision'!F8)</f>
        <v>"Left"</v>
      </c>
      <c r="C9" s="241" t="str">
        <f>IF('I-Ped'!C9="","",'I-Ped'!C9)</f>
        <v>NV</v>
      </c>
      <c r="D9" s="241" t="str">
        <f>IF('I-Ped'!D9="","",'I-Ped'!D9)</f>
        <v>NV</v>
      </c>
      <c r="E9" s="156">
        <v>100</v>
      </c>
      <c r="F9" s="156">
        <v>100</v>
      </c>
      <c r="G9" s="156">
        <v>100</v>
      </c>
      <c r="H9" s="618">
        <v>100</v>
      </c>
      <c r="I9" s="156">
        <v>100</v>
      </c>
      <c r="J9" s="156">
        <v>100</v>
      </c>
      <c r="K9" s="156">
        <v>100</v>
      </c>
      <c r="L9" s="618">
        <v>91.66666666666667</v>
      </c>
      <c r="M9" s="618">
        <v>100</v>
      </c>
      <c r="N9" s="626">
        <v>97.92</v>
      </c>
      <c r="O9" s="338"/>
      <c r="P9" s="24">
        <v>0.999985</v>
      </c>
      <c r="Q9" s="157">
        <v>1.0499895000000001</v>
      </c>
      <c r="R9" s="157">
        <v>1.099999</v>
      </c>
      <c r="S9" s="157">
        <v>1.3166585</v>
      </c>
      <c r="T9" s="157">
        <v>1.0999970000000001</v>
      </c>
      <c r="U9" s="157">
        <v>1.199989</v>
      </c>
      <c r="V9" s="157">
        <v>1.083313</v>
      </c>
      <c r="W9" s="157">
        <v>1.599975</v>
      </c>
      <c r="X9" s="157">
        <v>1.07</v>
      </c>
      <c r="Y9" s="306">
        <v>1.27</v>
      </c>
      <c r="Z9" s="21"/>
    </row>
    <row r="10" spans="1:26" ht="12.75">
      <c r="A10" s="166" t="str">
        <f>IF('Demog &amp; vision'!A9="","",'Demog &amp; vision'!A9)</f>
        <v>NV5</v>
      </c>
      <c r="B10" s="241" t="str">
        <f>IF('Demog &amp; vision'!F9="","",'Demog &amp; vision'!F9)</f>
        <v>"Left"</v>
      </c>
      <c r="C10" s="241" t="str">
        <f>IF('I-Ped'!C10="","",'I-Ped'!C10)</f>
        <v>NV</v>
      </c>
      <c r="D10" s="241" t="str">
        <f>IF('I-Ped'!D10="","",'I-Ped'!D10)</f>
        <v>NV</v>
      </c>
      <c r="E10" s="156">
        <v>100</v>
      </c>
      <c r="F10" s="156">
        <v>100</v>
      </c>
      <c r="G10" s="156">
        <v>100</v>
      </c>
      <c r="H10" s="618">
        <v>100</v>
      </c>
      <c r="I10" s="156">
        <v>100</v>
      </c>
      <c r="J10" s="156">
        <v>100</v>
      </c>
      <c r="K10" s="156">
        <v>100</v>
      </c>
      <c r="L10" s="618">
        <v>83.33333333333333</v>
      </c>
      <c r="M10" s="618">
        <v>100</v>
      </c>
      <c r="N10" s="626">
        <v>95.83</v>
      </c>
      <c r="O10" s="338"/>
      <c r="P10" s="24">
        <v>0.899902</v>
      </c>
      <c r="Q10" s="157">
        <v>0.8499829999999999</v>
      </c>
      <c r="R10" s="157">
        <v>0.933306</v>
      </c>
      <c r="S10" s="157">
        <v>1.033325</v>
      </c>
      <c r="T10" s="157">
        <v>0.98333</v>
      </c>
      <c r="U10" s="157">
        <v>0.8666465000000001</v>
      </c>
      <c r="V10" s="157">
        <v>0.9666524999999999</v>
      </c>
      <c r="W10" s="157">
        <v>1.0166545</v>
      </c>
      <c r="X10" s="157">
        <v>0.93</v>
      </c>
      <c r="Y10" s="306">
        <v>0.92</v>
      </c>
      <c r="Z10" s="21"/>
    </row>
    <row r="11" spans="1:26" ht="12.75">
      <c r="A11" s="166" t="str">
        <f>IF('Demog &amp; vision'!A10="","",'Demog &amp; vision'!A10)</f>
        <v>NV6</v>
      </c>
      <c r="B11" s="241" t="str">
        <f>IF('Demog &amp; vision'!F10="","",'Demog &amp; vision'!F10)</f>
        <v>"Left"</v>
      </c>
      <c r="C11" s="241" t="str">
        <f>IF('I-Ped'!C11="","",'I-Ped'!C11)</f>
        <v>NV</v>
      </c>
      <c r="D11" s="241" t="str">
        <f>IF('I-Ped'!D11="","",'I-Ped'!D11)</f>
        <v>NV</v>
      </c>
      <c r="E11" s="156">
        <v>100</v>
      </c>
      <c r="F11" s="156">
        <v>91.66666666666667</v>
      </c>
      <c r="G11" s="156">
        <v>95.45454545454545</v>
      </c>
      <c r="H11" s="618">
        <v>100</v>
      </c>
      <c r="I11" s="156">
        <v>100</v>
      </c>
      <c r="J11" s="156">
        <v>100</v>
      </c>
      <c r="K11" s="156">
        <v>100</v>
      </c>
      <c r="L11" s="618">
        <v>75</v>
      </c>
      <c r="M11" s="618">
        <v>99</v>
      </c>
      <c r="N11" s="626">
        <v>91.67</v>
      </c>
      <c r="O11" s="338"/>
      <c r="P11" s="24">
        <v>0.999985</v>
      </c>
      <c r="Q11" s="157">
        <v>1.233322</v>
      </c>
      <c r="R11" s="157">
        <v>1.133332</v>
      </c>
      <c r="S11" s="157">
        <v>1.2166445</v>
      </c>
      <c r="T11" s="157">
        <v>1.049988</v>
      </c>
      <c r="U11" s="157">
        <v>1.083313</v>
      </c>
      <c r="V11" s="157">
        <v>1.1666414999999999</v>
      </c>
      <c r="W11" s="157">
        <v>1.233338</v>
      </c>
      <c r="X11" s="157">
        <v>1.1</v>
      </c>
      <c r="Y11" s="306">
        <v>1.15</v>
      </c>
      <c r="Z11" s="21"/>
    </row>
    <row r="12" spans="1:26" ht="12.75">
      <c r="A12" s="166" t="str">
        <f>IF('Demog &amp; vision'!A11="","",'Demog &amp; vision'!A11)</f>
        <v>NV7</v>
      </c>
      <c r="B12" s="241" t="str">
        <f>IF('Demog &amp; vision'!F11="","",'Demog &amp; vision'!F11)</f>
        <v>"Right"</v>
      </c>
      <c r="C12" s="241" t="str">
        <f>IF('I-Ped'!C12="","",'I-Ped'!C12)</f>
        <v>NV</v>
      </c>
      <c r="D12" s="241" t="str">
        <f>IF('I-Ped'!D12="","",'I-Ped'!D12)</f>
        <v>NV</v>
      </c>
      <c r="E12" s="156">
        <v>100</v>
      </c>
      <c r="F12" s="156">
        <v>100</v>
      </c>
      <c r="G12" s="156">
        <v>100</v>
      </c>
      <c r="H12" s="618">
        <v>100</v>
      </c>
      <c r="I12" s="156">
        <v>100</v>
      </c>
      <c r="J12" s="156">
        <v>100</v>
      </c>
      <c r="K12" s="156">
        <v>100</v>
      </c>
      <c r="L12" s="618">
        <v>100</v>
      </c>
      <c r="M12" s="618">
        <v>100</v>
      </c>
      <c r="N12" s="626">
        <v>100</v>
      </c>
      <c r="O12" s="338"/>
      <c r="P12" s="24">
        <v>0.6499935</v>
      </c>
      <c r="Q12" s="157">
        <v>0.7333375</v>
      </c>
      <c r="R12" s="157">
        <v>0.7833325</v>
      </c>
      <c r="S12" s="157">
        <v>0.8499909999999999</v>
      </c>
      <c r="T12" s="157">
        <v>0.733337</v>
      </c>
      <c r="U12" s="157">
        <v>0.7999875000000001</v>
      </c>
      <c r="V12" s="157">
        <v>0.666656</v>
      </c>
      <c r="W12" s="157">
        <v>0.7499994999999999</v>
      </c>
      <c r="X12" s="157">
        <v>0.7</v>
      </c>
      <c r="Y12" s="306">
        <v>0.78</v>
      </c>
      <c r="Z12" s="21"/>
    </row>
    <row r="13" spans="1:26" ht="12.75">
      <c r="A13" s="166" t="str">
        <f>IF('Demog &amp; vision'!A12="","",'Demog &amp; vision'!A12)</f>
        <v>NV8</v>
      </c>
      <c r="B13" s="241" t="str">
        <f>IF('Demog &amp; vision'!F12="","",'Demog &amp; vision'!F12)</f>
        <v>"Right"</v>
      </c>
      <c r="C13" s="241" t="str">
        <f>IF('I-Ped'!C13="","",'I-Ped'!C13)</f>
        <v>NV</v>
      </c>
      <c r="D13" s="241" t="str">
        <f>IF('I-Ped'!D13="","",'I-Ped'!D13)</f>
        <v>NV</v>
      </c>
      <c r="E13" s="156">
        <v>100</v>
      </c>
      <c r="F13" s="156">
        <v>100</v>
      </c>
      <c r="G13" s="156">
        <v>100</v>
      </c>
      <c r="H13" s="618">
        <v>66.66666666666667</v>
      </c>
      <c r="I13" s="156">
        <v>100</v>
      </c>
      <c r="J13" s="156">
        <v>100</v>
      </c>
      <c r="K13" s="156">
        <v>100</v>
      </c>
      <c r="L13" s="618">
        <v>91.66666666666667</v>
      </c>
      <c r="M13" s="618">
        <v>100</v>
      </c>
      <c r="N13" s="626">
        <v>89.58</v>
      </c>
      <c r="O13" s="338"/>
      <c r="P13" s="24">
        <v>0.6833195000000001</v>
      </c>
      <c r="Q13" s="157">
        <v>0.7333225</v>
      </c>
      <c r="R13" s="157">
        <v>0.7333375</v>
      </c>
      <c r="S13" s="157">
        <v>0.9666445</v>
      </c>
      <c r="T13" s="157">
        <v>0.666657</v>
      </c>
      <c r="U13" s="157">
        <v>0.766647</v>
      </c>
      <c r="V13" s="157">
        <v>0.733338</v>
      </c>
      <c r="W13" s="157">
        <v>0.766655</v>
      </c>
      <c r="X13" s="157">
        <v>0.73</v>
      </c>
      <c r="Y13" s="306">
        <v>0.77</v>
      </c>
      <c r="Z13" s="21"/>
    </row>
    <row r="14" spans="1:26" ht="12.75">
      <c r="A14" s="166" t="str">
        <f>IF('Demog &amp; vision'!A13="","",'Demog &amp; vision'!A13)</f>
        <v>NV9</v>
      </c>
      <c r="B14" s="241" t="str">
        <f>IF('Demog &amp; vision'!F13="","",'Demog &amp; vision'!F13)</f>
        <v>"Right"</v>
      </c>
      <c r="C14" s="241" t="str">
        <f>IF('I-Ped'!C14="","",'I-Ped'!C14)</f>
        <v>NV</v>
      </c>
      <c r="D14" s="241" t="str">
        <f>IF('I-Ped'!D14="","",'I-Ped'!D14)</f>
        <v>NV</v>
      </c>
      <c r="E14" s="156">
        <v>100</v>
      </c>
      <c r="F14" s="156">
        <v>100</v>
      </c>
      <c r="G14" s="156">
        <v>100</v>
      </c>
      <c r="H14" s="618">
        <v>91.66666666666667</v>
      </c>
      <c r="I14" s="156">
        <v>100</v>
      </c>
      <c r="J14" s="156">
        <v>100</v>
      </c>
      <c r="K14" s="156">
        <v>100</v>
      </c>
      <c r="L14" s="618">
        <v>91.66666666666667</v>
      </c>
      <c r="M14" s="618">
        <v>100</v>
      </c>
      <c r="N14" s="626">
        <v>95.83</v>
      </c>
      <c r="O14" s="338"/>
      <c r="P14" s="24">
        <v>0.6833195000000001</v>
      </c>
      <c r="Q14" s="157">
        <v>0.6666565</v>
      </c>
      <c r="R14" s="157">
        <v>0.683319</v>
      </c>
      <c r="S14" s="157">
        <v>0.733337</v>
      </c>
      <c r="T14" s="157">
        <v>0.616661</v>
      </c>
      <c r="U14" s="157">
        <v>0.6499905</v>
      </c>
      <c r="V14" s="157">
        <v>0.6333275</v>
      </c>
      <c r="W14" s="157">
        <v>0.733337</v>
      </c>
      <c r="X14" s="157">
        <v>0.63</v>
      </c>
      <c r="Y14" s="306">
        <v>0.68</v>
      </c>
      <c r="Z14" s="21"/>
    </row>
    <row r="15" spans="1:26" ht="12.75">
      <c r="A15" s="166" t="str">
        <f>IF('Demog &amp; vision'!A14="","",'Demog &amp; vision'!A14)</f>
        <v>NV10</v>
      </c>
      <c r="B15" s="241" t="str">
        <f>IF('Demog &amp; vision'!F14="","",'Demog &amp; vision'!F14)</f>
        <v>"Right"</v>
      </c>
      <c r="C15" s="241" t="str">
        <f>IF('I-Ped'!C15="","",'I-Ped'!C15)</f>
        <v>NV</v>
      </c>
      <c r="D15" s="241" t="str">
        <f>IF('I-Ped'!D15="","",'I-Ped'!D15)</f>
        <v>NV</v>
      </c>
      <c r="E15" s="156">
        <v>100</v>
      </c>
      <c r="F15" s="156">
        <v>100</v>
      </c>
      <c r="G15" s="156">
        <v>100</v>
      </c>
      <c r="H15" s="618">
        <v>100</v>
      </c>
      <c r="I15" s="156">
        <v>100</v>
      </c>
      <c r="J15" s="156">
        <v>100</v>
      </c>
      <c r="K15" s="156">
        <v>95.83333333333333</v>
      </c>
      <c r="L15" s="618">
        <v>100</v>
      </c>
      <c r="M15" s="618">
        <v>99</v>
      </c>
      <c r="N15" s="626">
        <v>100</v>
      </c>
      <c r="O15" s="338"/>
      <c r="P15" s="24">
        <v>0.599976</v>
      </c>
      <c r="Q15" s="157">
        <v>0.5666655</v>
      </c>
      <c r="R15" s="157">
        <v>0.666657</v>
      </c>
      <c r="S15" s="157">
        <v>0.8333280000000001</v>
      </c>
      <c r="T15" s="157">
        <v>0.566666</v>
      </c>
      <c r="U15" s="157">
        <v>0.6</v>
      </c>
      <c r="V15" s="157">
        <v>0.599991</v>
      </c>
      <c r="W15" s="157">
        <v>0.799992</v>
      </c>
      <c r="X15" s="157">
        <v>0.6</v>
      </c>
      <c r="Y15" s="306">
        <v>0.7</v>
      </c>
      <c r="Z15" s="21"/>
    </row>
    <row r="16" spans="1:26" ht="12.75">
      <c r="A16" s="166" t="str">
        <f>IF('Demog &amp; vision'!A15="","",'Demog &amp; vision'!A15)</f>
        <v>NV11</v>
      </c>
      <c r="B16" s="241" t="str">
        <f>IF('Demog &amp; vision'!F15="","",'Demog &amp; vision'!F15)</f>
        <v>"Right"</v>
      </c>
      <c r="C16" s="241" t="str">
        <f>IF('I-Ped'!C16="","",'I-Ped'!C16)</f>
        <v>NV</v>
      </c>
      <c r="D16" s="241" t="str">
        <f>IF('I-Ped'!D16="","",'I-Ped'!D16)</f>
        <v>NV</v>
      </c>
      <c r="E16" s="156">
        <v>100</v>
      </c>
      <c r="F16" s="156">
        <v>100</v>
      </c>
      <c r="G16" s="156">
        <v>100</v>
      </c>
      <c r="H16" s="618">
        <v>75</v>
      </c>
      <c r="I16" s="156">
        <v>100</v>
      </c>
      <c r="J16" s="156">
        <v>100</v>
      </c>
      <c r="K16" s="156">
        <v>95.83333333333333</v>
      </c>
      <c r="L16" s="618">
        <v>100</v>
      </c>
      <c r="M16" s="618">
        <v>99</v>
      </c>
      <c r="N16" s="626">
        <v>93.75</v>
      </c>
      <c r="O16" s="338"/>
      <c r="P16" s="24">
        <v>0.833329</v>
      </c>
      <c r="Q16" s="157">
        <v>0.8499835</v>
      </c>
      <c r="R16" s="157">
        <v>0.833344</v>
      </c>
      <c r="S16" s="157">
        <v>0.96666</v>
      </c>
      <c r="T16" s="157">
        <v>0.700012</v>
      </c>
      <c r="U16" s="157">
        <v>0.7333145000000001</v>
      </c>
      <c r="V16" s="157">
        <v>0.899978</v>
      </c>
      <c r="W16" s="157">
        <v>1.1166610000000001</v>
      </c>
      <c r="X16" s="157">
        <v>0.83</v>
      </c>
      <c r="Y16" s="306">
        <v>0.93</v>
      </c>
      <c r="Z16" s="21"/>
    </row>
    <row r="17" spans="1:29" ht="12.75">
      <c r="A17" s="178" t="str">
        <f>IF('Demog &amp; vision'!A16="","",'Demog &amp; vision'!A16)</f>
        <v>NV12</v>
      </c>
      <c r="B17" s="282" t="str">
        <f>IF('Demog &amp; vision'!F16="","",'Demog &amp; vision'!F16)</f>
        <v>"Right"</v>
      </c>
      <c r="C17" s="282" t="str">
        <f>IF('I-Ped'!C17="","",'I-Ped'!C17)</f>
        <v>NV</v>
      </c>
      <c r="D17" s="282" t="str">
        <f>IF('I-Ped'!D17="","",'I-Ped'!D17)</f>
        <v>NV</v>
      </c>
      <c r="E17" s="197">
        <v>100</v>
      </c>
      <c r="F17" s="197">
        <v>100</v>
      </c>
      <c r="G17" s="197">
        <v>100</v>
      </c>
      <c r="H17" s="619">
        <v>100</v>
      </c>
      <c r="I17" s="197">
        <v>100</v>
      </c>
      <c r="J17" s="197">
        <v>100</v>
      </c>
      <c r="K17" s="197">
        <v>95.83333333333333</v>
      </c>
      <c r="L17" s="619">
        <v>100</v>
      </c>
      <c r="M17" s="619">
        <v>99</v>
      </c>
      <c r="N17" s="627">
        <v>100</v>
      </c>
      <c r="O17" s="603"/>
      <c r="P17" s="327">
        <v>0.666657</v>
      </c>
      <c r="Q17" s="198">
        <v>0.76667</v>
      </c>
      <c r="R17" s="198">
        <v>0.733307</v>
      </c>
      <c r="S17" s="198">
        <v>0.8666685000000001</v>
      </c>
      <c r="T17" s="198">
        <v>0.633301</v>
      </c>
      <c r="U17" s="198">
        <v>0.6833290000000001</v>
      </c>
      <c r="V17" s="198">
        <v>0.666672</v>
      </c>
      <c r="W17" s="198">
        <v>0.9833185</v>
      </c>
      <c r="X17" s="198">
        <v>0.67</v>
      </c>
      <c r="Y17" s="307">
        <v>0.83</v>
      </c>
      <c r="Z17" s="21"/>
      <c r="AA17" s="12"/>
      <c r="AB17" s="12"/>
      <c r="AC17" s="12"/>
    </row>
    <row r="18" spans="1:29" ht="12.75">
      <c r="A18" s="308">
        <f>IF('Demog &amp; vision'!A17="","",'Demog &amp; vision'!A17)</f>
      </c>
      <c r="B18" s="300">
        <f>IF('Demog &amp; vision'!F17="","",'Demog &amp; vision'!F17)</f>
      </c>
      <c r="C18" s="300">
        <f>IF('I-Ped'!C18="","",'I-Ped'!C18)</f>
      </c>
      <c r="D18" s="190">
        <f>IF('I-Ped'!D18="","",'I-Ped'!D18)</f>
      </c>
      <c r="E18" s="689" t="s">
        <v>168</v>
      </c>
      <c r="F18" s="689"/>
      <c r="G18" s="689"/>
      <c r="H18" s="689"/>
      <c r="I18" s="689"/>
      <c r="J18" s="689"/>
      <c r="K18" s="689"/>
      <c r="L18" s="689"/>
      <c r="M18" s="689"/>
      <c r="N18" s="689"/>
      <c r="O18" s="17"/>
      <c r="P18" s="689" t="s">
        <v>168</v>
      </c>
      <c r="Q18" s="689"/>
      <c r="R18" s="689"/>
      <c r="S18" s="689"/>
      <c r="T18" s="689"/>
      <c r="U18" s="689"/>
      <c r="V18" s="689"/>
      <c r="W18" s="689"/>
      <c r="X18" s="689"/>
      <c r="Y18" s="781"/>
      <c r="Z18" s="24"/>
      <c r="AA18" s="12"/>
      <c r="AB18" s="12"/>
      <c r="AC18" s="12"/>
    </row>
    <row r="19" spans="1:29" ht="12.75">
      <c r="A19" s="297" t="str">
        <f>IF('Demog &amp; vision'!A18="","",'Demog &amp; vision'!A18)</f>
        <v>HH1</v>
      </c>
      <c r="B19" s="298" t="str">
        <f>IF('Demog &amp; vision'!F18="","",'Demog &amp; vision'!F18)</f>
        <v>Left</v>
      </c>
      <c r="C19" s="298" t="str">
        <f>IF('I-Ped'!C19="","",'I-Ped'!C19)</f>
        <v>HH</v>
      </c>
      <c r="D19" s="298" t="str">
        <f>IF('I-Ped'!D19="","",'I-Ped'!D19)</f>
        <v>LHH</v>
      </c>
      <c r="E19" s="171">
        <v>76.19047619047619</v>
      </c>
      <c r="F19" s="171">
        <v>58.333333333333336</v>
      </c>
      <c r="G19" s="171">
        <v>52.17391304347826</v>
      </c>
      <c r="H19" s="623">
        <v>16.666666666666668</v>
      </c>
      <c r="I19" s="171">
        <v>100</v>
      </c>
      <c r="J19" s="171">
        <v>100</v>
      </c>
      <c r="K19" s="171">
        <v>100</v>
      </c>
      <c r="L19" s="623">
        <v>83.33333333333333</v>
      </c>
      <c r="M19" s="172"/>
      <c r="N19" s="602"/>
      <c r="O19" s="601"/>
      <c r="P19" s="326">
        <v>1.0166629999999999</v>
      </c>
      <c r="Q19" s="172">
        <v>1.266663</v>
      </c>
      <c r="R19" s="172">
        <v>1.9499665</v>
      </c>
      <c r="S19" s="172"/>
      <c r="T19" s="172">
        <v>0.766663</v>
      </c>
      <c r="U19" s="172">
        <v>0.8499915</v>
      </c>
      <c r="V19" s="172">
        <v>1</v>
      </c>
      <c r="W19" s="172">
        <v>1.083317</v>
      </c>
      <c r="X19" s="172"/>
      <c r="Y19" s="73"/>
      <c r="Z19" s="24"/>
      <c r="AA19" s="12"/>
      <c r="AB19" s="12"/>
      <c r="AC19" s="12"/>
    </row>
    <row r="20" spans="1:29" ht="12.75">
      <c r="A20" s="166" t="str">
        <f>IF('Demog &amp; vision'!A19="","",'Demog &amp; vision'!A19)</f>
        <v>HH2</v>
      </c>
      <c r="B20" s="241" t="str">
        <f>IF('Demog &amp; vision'!F19="","",'Demog &amp; vision'!F19)</f>
        <v>Left</v>
      </c>
      <c r="C20" s="241" t="str">
        <f>IF('I-Ped'!C20="","",'I-Ped'!C20)</f>
        <v>HH</v>
      </c>
      <c r="D20" s="241" t="str">
        <f>IF('I-Ped'!D20="","",'I-Ped'!D20)</f>
        <v>LHH</v>
      </c>
      <c r="E20" s="156">
        <v>77.27272727272727</v>
      </c>
      <c r="F20" s="156">
        <v>33.333333333333336</v>
      </c>
      <c r="G20" s="156">
        <v>40.90909090909091</v>
      </c>
      <c r="H20" s="618">
        <v>8.333333333333334</v>
      </c>
      <c r="I20" s="156">
        <v>100</v>
      </c>
      <c r="J20" s="156">
        <v>100</v>
      </c>
      <c r="K20" s="156">
        <v>100</v>
      </c>
      <c r="L20" s="618">
        <v>100</v>
      </c>
      <c r="M20" s="157"/>
      <c r="N20" s="328"/>
      <c r="O20" s="338"/>
      <c r="P20" s="24">
        <v>1.499969</v>
      </c>
      <c r="Q20" s="157">
        <v>1.2000009999999999</v>
      </c>
      <c r="R20" s="157">
        <v>1.899964</v>
      </c>
      <c r="S20" s="157"/>
      <c r="T20" s="157">
        <v>0.700012</v>
      </c>
      <c r="U20" s="157">
        <v>0.9499895</v>
      </c>
      <c r="V20" s="157">
        <v>0.833329</v>
      </c>
      <c r="W20" s="157">
        <v>0.849998</v>
      </c>
      <c r="X20" s="157"/>
      <c r="Y20" s="306"/>
      <c r="Z20" s="24"/>
      <c r="AA20" s="12"/>
      <c r="AB20" s="12"/>
      <c r="AC20" s="12"/>
    </row>
    <row r="21" spans="1:29" ht="12.75">
      <c r="A21" s="166" t="str">
        <f>IF('Demog &amp; vision'!A20="","",'Demog &amp; vision'!A20)</f>
        <v>HH3</v>
      </c>
      <c r="B21" s="241" t="str">
        <f>IF('Demog &amp; vision'!F20="","",'Demog &amp; vision'!F20)</f>
        <v>Left</v>
      </c>
      <c r="C21" s="241" t="str">
        <f>IF('I-Ped'!C21="","",'I-Ped'!C21)</f>
        <v>HH</v>
      </c>
      <c r="D21" s="241" t="str">
        <f>IF('I-Ped'!D21="","",'I-Ped'!D21)</f>
        <v>LHH</v>
      </c>
      <c r="E21" s="156">
        <v>66.66666666666667</v>
      </c>
      <c r="F21" s="156">
        <v>33.333333333333336</v>
      </c>
      <c r="G21" s="156">
        <v>21.73913043478261</v>
      </c>
      <c r="H21" s="618">
        <v>16.666666666666668</v>
      </c>
      <c r="I21" s="156">
        <v>100</v>
      </c>
      <c r="J21" s="156">
        <v>100</v>
      </c>
      <c r="K21" s="156">
        <v>100</v>
      </c>
      <c r="L21" s="618">
        <v>41.666666666666664</v>
      </c>
      <c r="M21" s="157"/>
      <c r="N21" s="328"/>
      <c r="O21" s="338"/>
      <c r="P21" s="24">
        <v>0.98333</v>
      </c>
      <c r="Q21" s="157">
        <v>1.366653</v>
      </c>
      <c r="R21" s="157">
        <v>2.133301</v>
      </c>
      <c r="S21" s="157"/>
      <c r="T21" s="157">
        <v>0.766663</v>
      </c>
      <c r="U21" s="157">
        <v>0.966652</v>
      </c>
      <c r="V21" s="157">
        <v>0.8166505</v>
      </c>
      <c r="W21" s="157">
        <v>1.99997</v>
      </c>
      <c r="X21" s="157"/>
      <c r="Y21" s="306"/>
      <c r="Z21" s="24"/>
      <c r="AA21" s="12"/>
      <c r="AB21" s="12"/>
      <c r="AC21" s="12"/>
    </row>
    <row r="22" spans="1:29" ht="12.75">
      <c r="A22" s="166" t="str">
        <f>IF('Demog &amp; vision'!A21="","",'Demog &amp; vision'!A21)</f>
        <v>HH4</v>
      </c>
      <c r="B22" s="241" t="str">
        <f>IF('Demog &amp; vision'!F21="","",'Demog &amp; vision'!F21)</f>
        <v>Left</v>
      </c>
      <c r="C22" s="241" t="str">
        <f>IF('I-Ped'!C22="","",'I-Ped'!C22)</f>
        <v>HH</v>
      </c>
      <c r="D22" s="241" t="str">
        <f>IF('I-Ped'!D22="","",'I-Ped'!D22)</f>
        <v>LHH</v>
      </c>
      <c r="E22" s="156">
        <v>60.869565217391305</v>
      </c>
      <c r="F22" s="156">
        <v>83.33333333333333</v>
      </c>
      <c r="G22" s="156">
        <v>13.636363636363637</v>
      </c>
      <c r="H22" s="618">
        <v>16.666666666666668</v>
      </c>
      <c r="I22" s="156">
        <v>100</v>
      </c>
      <c r="J22" s="156">
        <v>100</v>
      </c>
      <c r="K22" s="156">
        <v>95.45454545454545</v>
      </c>
      <c r="L22" s="618">
        <v>50</v>
      </c>
      <c r="M22" s="157"/>
      <c r="N22" s="328"/>
      <c r="O22" s="338"/>
      <c r="P22" s="329">
        <v>1.6666485</v>
      </c>
      <c r="Q22" s="309">
        <v>2.0500035</v>
      </c>
      <c r="R22" s="309">
        <v>3.349968</v>
      </c>
      <c r="S22" s="309"/>
      <c r="T22" s="309">
        <v>1.633301</v>
      </c>
      <c r="U22" s="309">
        <v>1.7333295</v>
      </c>
      <c r="V22" s="309">
        <v>1.900024</v>
      </c>
      <c r="W22" s="309">
        <v>2.383301</v>
      </c>
      <c r="X22" s="157"/>
      <c r="Y22" s="306"/>
      <c r="Z22" s="24"/>
      <c r="AA22" s="12"/>
      <c r="AB22" s="12"/>
      <c r="AC22" s="12"/>
    </row>
    <row r="23" spans="1:29" ht="12.75">
      <c r="A23" s="166" t="str">
        <f>IF('Demog &amp; vision'!A22="","",'Demog &amp; vision'!A22)</f>
        <v>HH5</v>
      </c>
      <c r="B23" s="241" t="str">
        <f>IF('Demog &amp; vision'!F22="","",'Demog &amp; vision'!F22)</f>
        <v>Left</v>
      </c>
      <c r="C23" s="241" t="str">
        <f>IF('I-Ped'!C23="","",'I-Ped'!C23)</f>
        <v>HH</v>
      </c>
      <c r="D23" s="241" t="str">
        <f>IF('I-Ped'!D23="","",'I-Ped'!D23)</f>
        <v>LHH</v>
      </c>
      <c r="E23" s="156">
        <v>73.91304347826087</v>
      </c>
      <c r="F23" s="156">
        <v>33.333333333333336</v>
      </c>
      <c r="G23" s="156">
        <v>9.090909090909092</v>
      </c>
      <c r="H23" s="618">
        <v>8.333333333333334</v>
      </c>
      <c r="I23" s="156">
        <v>100</v>
      </c>
      <c r="J23" s="156">
        <v>100</v>
      </c>
      <c r="K23" s="156">
        <v>95.45454545454545</v>
      </c>
      <c r="L23" s="618">
        <v>66.66666666666667</v>
      </c>
      <c r="M23" s="157"/>
      <c r="N23" s="328"/>
      <c r="O23" s="338"/>
      <c r="P23" s="24">
        <v>1.799927</v>
      </c>
      <c r="Q23" s="157">
        <v>1.9166509999999999</v>
      </c>
      <c r="R23" s="157"/>
      <c r="S23" s="157"/>
      <c r="T23" s="157">
        <v>1.233338</v>
      </c>
      <c r="U23" s="157">
        <v>1.516647</v>
      </c>
      <c r="V23" s="157">
        <v>1.599976</v>
      </c>
      <c r="W23" s="157">
        <v>1.383316</v>
      </c>
      <c r="X23" s="157"/>
      <c r="Y23" s="306"/>
      <c r="Z23" s="24"/>
      <c r="AA23" s="12"/>
      <c r="AB23" s="12"/>
      <c r="AC23" s="12"/>
    </row>
    <row r="24" spans="1:29" ht="13.5" thickBot="1">
      <c r="A24" s="166" t="str">
        <f>IF('Demog &amp; vision'!A23="","",'Demog &amp; vision'!A23)</f>
        <v>HH6</v>
      </c>
      <c r="B24" s="241" t="str">
        <f>IF('Demog &amp; vision'!F23="","",'Demog &amp; vision'!F23)</f>
        <v>Left</v>
      </c>
      <c r="C24" s="241" t="str">
        <f>IF('I-Ped'!C24="","",'I-Ped'!C24)</f>
        <v>HH</v>
      </c>
      <c r="D24" s="241" t="str">
        <f>IF('I-Ped'!D24="","",'I-Ped'!D24)</f>
        <v>LHH</v>
      </c>
      <c r="E24" s="156">
        <v>56.52173913043478</v>
      </c>
      <c r="F24" s="156">
        <v>16.666666666666668</v>
      </c>
      <c r="G24" s="156">
        <v>9.090909090909092</v>
      </c>
      <c r="H24" s="618">
        <v>0</v>
      </c>
      <c r="I24" s="156">
        <v>100</v>
      </c>
      <c r="J24" s="156">
        <v>100</v>
      </c>
      <c r="K24" s="156">
        <v>95.45454545454545</v>
      </c>
      <c r="L24" s="618">
        <v>91.66666666666667</v>
      </c>
      <c r="M24" s="157"/>
      <c r="N24" s="328"/>
      <c r="O24" s="338"/>
      <c r="P24" s="330">
        <v>0.699997</v>
      </c>
      <c r="Q24" s="310"/>
      <c r="R24" s="310"/>
      <c r="S24" s="458"/>
      <c r="T24" s="157">
        <v>0.6833195000000001</v>
      </c>
      <c r="U24" s="157">
        <v>0.783325</v>
      </c>
      <c r="V24" s="157">
        <v>1.033325</v>
      </c>
      <c r="W24" s="157">
        <v>1.133331</v>
      </c>
      <c r="X24" s="157"/>
      <c r="Y24" s="306"/>
      <c r="Z24" s="24"/>
      <c r="AA24" s="12"/>
      <c r="AB24" s="12"/>
      <c r="AC24" s="12"/>
    </row>
    <row r="25" spans="1:29" ht="13.5" thickBot="1">
      <c r="A25" s="166" t="str">
        <f>IF('Demog &amp; vision'!A24="","",'Demog &amp; vision'!A24)</f>
        <v>HH7</v>
      </c>
      <c r="B25" s="241" t="str">
        <f>IF('Demog &amp; vision'!F24="","",'Demog &amp; vision'!F24)</f>
        <v>Right</v>
      </c>
      <c r="C25" s="241" t="str">
        <f>IF('I-Ped'!C25="","",'I-Ped'!C25)</f>
        <v>HH</v>
      </c>
      <c r="D25" s="241" t="str">
        <f>IF('I-Ped'!D25="","",'I-Ped'!D25)</f>
        <v>RHH</v>
      </c>
      <c r="E25" s="156">
        <v>100</v>
      </c>
      <c r="F25" s="156">
        <v>100</v>
      </c>
      <c r="G25" s="156">
        <v>83.33333333333333</v>
      </c>
      <c r="H25" s="618">
        <v>91.66666666666667</v>
      </c>
      <c r="I25" s="156">
        <v>100</v>
      </c>
      <c r="J25" s="156">
        <v>100</v>
      </c>
      <c r="K25" s="156">
        <v>100</v>
      </c>
      <c r="L25" s="618">
        <v>100</v>
      </c>
      <c r="M25" s="157"/>
      <c r="N25" s="328"/>
      <c r="O25" s="338"/>
      <c r="P25" s="24">
        <v>0.9499815</v>
      </c>
      <c r="Q25" s="157">
        <v>1.7833095</v>
      </c>
      <c r="R25" s="148">
        <v>1.3499905</v>
      </c>
      <c r="S25" s="459">
        <v>2.766632</v>
      </c>
      <c r="T25" s="24">
        <v>0.899993</v>
      </c>
      <c r="U25" s="157">
        <v>1.4166414999999999</v>
      </c>
      <c r="V25" s="157">
        <v>0.999984</v>
      </c>
      <c r="W25" s="157">
        <v>1.2833215</v>
      </c>
      <c r="X25" s="157"/>
      <c r="Y25" s="306"/>
      <c r="Z25" s="24"/>
      <c r="AA25" s="12"/>
      <c r="AB25" s="12"/>
      <c r="AC25" s="12"/>
    </row>
    <row r="26" spans="1:29" ht="12.75">
      <c r="A26" s="166" t="str">
        <f>IF('Demog &amp; vision'!A25="","",'Demog &amp; vision'!A25)</f>
        <v>HH8</v>
      </c>
      <c r="B26" s="241" t="str">
        <f>IF('Demog &amp; vision'!F25="","",'Demog &amp; vision'!F25)</f>
        <v>Right</v>
      </c>
      <c r="C26" s="241" t="str">
        <f>IF('I-Ped'!C26="","",'I-Ped'!C26)</f>
        <v>HH</v>
      </c>
      <c r="D26" s="241" t="str">
        <f>IF('I-Ped'!D26="","",'I-Ped'!D26)</f>
        <v>RHH</v>
      </c>
      <c r="E26" s="156">
        <v>87.5</v>
      </c>
      <c r="F26" s="156">
        <v>83.33333333333333</v>
      </c>
      <c r="G26" s="156">
        <v>54.166666666666664</v>
      </c>
      <c r="H26" s="618">
        <v>50</v>
      </c>
      <c r="I26" s="156">
        <v>100</v>
      </c>
      <c r="J26" s="156">
        <v>100</v>
      </c>
      <c r="K26" s="156">
        <v>100</v>
      </c>
      <c r="L26" s="618">
        <v>50</v>
      </c>
      <c r="M26" s="157"/>
      <c r="N26" s="328"/>
      <c r="O26" s="338"/>
      <c r="P26" s="24">
        <v>1.533325</v>
      </c>
      <c r="Q26" s="157">
        <v>1.6999815</v>
      </c>
      <c r="R26" s="157">
        <v>1.333313</v>
      </c>
      <c r="S26" s="172">
        <v>1.983315</v>
      </c>
      <c r="T26" s="157">
        <v>0.799987</v>
      </c>
      <c r="U26" s="157">
        <v>1.0999905</v>
      </c>
      <c r="V26" s="157">
        <v>0.933334</v>
      </c>
      <c r="W26" s="157">
        <v>2.3499755</v>
      </c>
      <c r="X26" s="157"/>
      <c r="Y26" s="306"/>
      <c r="Z26" s="24"/>
      <c r="AA26" s="12"/>
      <c r="AB26" s="12"/>
      <c r="AC26" s="12"/>
    </row>
    <row r="27" spans="1:29" ht="13.5" thickBot="1">
      <c r="A27" s="166" t="str">
        <f>IF('Demog &amp; vision'!A26="","",'Demog &amp; vision'!A26)</f>
        <v>HH9</v>
      </c>
      <c r="B27" s="241" t="str">
        <f>IF('Demog &amp; vision'!F26="","",'Demog &amp; vision'!F26)</f>
        <v>Right</v>
      </c>
      <c r="C27" s="241" t="str">
        <f>IF('I-Ped'!C27="","",'I-Ped'!C27)</f>
        <v>HH</v>
      </c>
      <c r="D27" s="241" t="str">
        <f>IF('I-Ped'!D27="","",'I-Ped'!D27)</f>
        <v>RHH</v>
      </c>
      <c r="E27" s="156">
        <v>34.78260869565217</v>
      </c>
      <c r="F27" s="156">
        <v>41.666666666666664</v>
      </c>
      <c r="G27" s="156">
        <v>8</v>
      </c>
      <c r="H27" s="618">
        <v>8.333333333333334</v>
      </c>
      <c r="I27" s="156">
        <v>100</v>
      </c>
      <c r="J27" s="156">
        <v>100</v>
      </c>
      <c r="K27" s="156">
        <v>100</v>
      </c>
      <c r="L27" s="618">
        <v>91.66666666666667</v>
      </c>
      <c r="M27" s="157"/>
      <c r="N27" s="328"/>
      <c r="O27" s="338"/>
      <c r="P27" s="24">
        <v>1.5499885</v>
      </c>
      <c r="Q27" s="157">
        <v>1.699981</v>
      </c>
      <c r="R27" s="157"/>
      <c r="S27" s="198"/>
      <c r="T27" s="157">
        <v>1.0499955</v>
      </c>
      <c r="U27" s="157">
        <v>1.0666505</v>
      </c>
      <c r="V27" s="157">
        <v>1.0166595</v>
      </c>
      <c r="W27" s="157">
        <v>0.899963</v>
      </c>
      <c r="X27" s="157"/>
      <c r="Y27" s="306"/>
      <c r="Z27" s="24"/>
      <c r="AA27" s="12"/>
      <c r="AB27" s="12"/>
      <c r="AC27" s="12"/>
    </row>
    <row r="28" spans="1:29" ht="13.5" thickBot="1">
      <c r="A28" s="166" t="str">
        <f>IF('Demog &amp; vision'!A27="","",'Demog &amp; vision'!A27)</f>
        <v>HH10</v>
      </c>
      <c r="B28" s="241" t="str">
        <f>IF('Demog &amp; vision'!F27="","",'Demog &amp; vision'!F27)</f>
        <v>Right</v>
      </c>
      <c r="C28" s="241" t="str">
        <f>IF('I-Ped'!C28="","",'I-Ped'!C28)</f>
        <v>HH</v>
      </c>
      <c r="D28" s="241" t="str">
        <f>IF('I-Ped'!D28="","",'I-Ped'!D28)</f>
        <v>RHH</v>
      </c>
      <c r="E28" s="156">
        <v>78.26086956521739</v>
      </c>
      <c r="F28" s="156">
        <v>83.33333333333333</v>
      </c>
      <c r="G28" s="156">
        <v>43.47826086956522</v>
      </c>
      <c r="H28" s="618">
        <v>33.333333333333336</v>
      </c>
      <c r="I28" s="156">
        <v>100</v>
      </c>
      <c r="J28" s="156">
        <v>100</v>
      </c>
      <c r="K28" s="156">
        <v>95.83333333333333</v>
      </c>
      <c r="L28" s="618">
        <v>100</v>
      </c>
      <c r="M28" s="157"/>
      <c r="N28" s="328"/>
      <c r="O28" s="338"/>
      <c r="P28" s="24">
        <v>1.283321</v>
      </c>
      <c r="Q28" s="157">
        <v>1.983307</v>
      </c>
      <c r="R28" s="148">
        <v>1.666641</v>
      </c>
      <c r="S28" s="459">
        <v>4.3332825</v>
      </c>
      <c r="T28" s="24">
        <v>0.766663</v>
      </c>
      <c r="U28" s="157">
        <v>1.0333215</v>
      </c>
      <c r="V28" s="157">
        <v>0.899994</v>
      </c>
      <c r="W28" s="157">
        <v>1.04998</v>
      </c>
      <c r="X28" s="157"/>
      <c r="Y28" s="306"/>
      <c r="Z28" s="24"/>
      <c r="AA28" s="12"/>
      <c r="AB28" s="12"/>
      <c r="AC28" s="12"/>
    </row>
    <row r="29" spans="1:26" ht="12.75">
      <c r="A29" s="166" t="str">
        <f>IF('Demog &amp; vision'!A28="","",'Demog &amp; vision'!A28)</f>
        <v>HH11</v>
      </c>
      <c r="B29" s="241" t="str">
        <f>IF('Demog &amp; vision'!F28="","",'Demog &amp; vision'!F28)</f>
        <v>Right</v>
      </c>
      <c r="C29" s="241" t="str">
        <f>IF('I-Ped'!C29="","",'I-Ped'!C29)</f>
        <v>HH</v>
      </c>
      <c r="D29" s="241" t="str">
        <f>IF('I-Ped'!D29="","",'I-Ped'!D29)</f>
        <v>RHH</v>
      </c>
      <c r="E29" s="156">
        <v>31.57894736842105</v>
      </c>
      <c r="F29" s="156">
        <v>33.333333333333336</v>
      </c>
      <c r="G29" s="156">
        <v>4.761904761904762</v>
      </c>
      <c r="H29" s="618">
        <v>8.333333333333334</v>
      </c>
      <c r="I29" s="156">
        <v>100</v>
      </c>
      <c r="J29" s="156">
        <v>100</v>
      </c>
      <c r="K29" s="156">
        <v>100</v>
      </c>
      <c r="L29" s="618">
        <v>83.33333333333333</v>
      </c>
      <c r="M29" s="157"/>
      <c r="N29" s="328"/>
      <c r="O29" s="338"/>
      <c r="P29" s="24">
        <v>1.999981</v>
      </c>
      <c r="Q29" s="157">
        <v>2.2666399999999998</v>
      </c>
      <c r="R29" s="157"/>
      <c r="S29" s="172"/>
      <c r="T29" s="157">
        <v>1.56665</v>
      </c>
      <c r="U29" s="157">
        <v>1.6333164999999998</v>
      </c>
      <c r="V29" s="157">
        <v>1.599976</v>
      </c>
      <c r="W29" s="157">
        <v>1.933319</v>
      </c>
      <c r="X29" s="155"/>
      <c r="Y29" s="28"/>
      <c r="Z29" s="21"/>
    </row>
    <row r="30" spans="1:26" ht="13.5" thickBot="1">
      <c r="A30" s="264" t="str">
        <f>IF('Demog &amp; vision'!A29="","",'Demog &amp; vision'!A29)</f>
        <v>HH12</v>
      </c>
      <c r="B30" s="265" t="str">
        <f>IF('Demog &amp; vision'!F29="","",'Demog &amp; vision'!F29)</f>
        <v>Right</v>
      </c>
      <c r="C30" s="265" t="str">
        <f>IF('I-Ped'!C30="","",'I-Ped'!C30)</f>
        <v>HH</v>
      </c>
      <c r="D30" s="265" t="str">
        <f>IF('I-Ped'!D30="","",'I-Ped'!D30)</f>
        <v>RHH</v>
      </c>
      <c r="E30" s="311">
        <v>90.9090909090909</v>
      </c>
      <c r="F30" s="311">
        <v>91.66666666666667</v>
      </c>
      <c r="G30" s="311">
        <v>50</v>
      </c>
      <c r="H30" s="624">
        <v>41.666666666666664</v>
      </c>
      <c r="I30" s="311">
        <v>100</v>
      </c>
      <c r="J30" s="311">
        <v>91.66666666666667</v>
      </c>
      <c r="K30" s="311">
        <v>100</v>
      </c>
      <c r="L30" s="624">
        <v>100</v>
      </c>
      <c r="M30" s="312"/>
      <c r="N30" s="332"/>
      <c r="O30" s="339"/>
      <c r="P30" s="331">
        <v>1.5333100000000002</v>
      </c>
      <c r="Q30" s="312">
        <v>0.799988</v>
      </c>
      <c r="R30" s="312">
        <v>2.3499755</v>
      </c>
      <c r="S30" s="312">
        <v>1.133331</v>
      </c>
      <c r="T30" s="312">
        <v>0.99997</v>
      </c>
      <c r="U30" s="312">
        <v>1.06665</v>
      </c>
      <c r="V30" s="312">
        <v>0.8833234999999999</v>
      </c>
      <c r="W30" s="312">
        <v>1.0999915</v>
      </c>
      <c r="X30" s="35"/>
      <c r="Y30" s="36"/>
      <c r="Z30" s="21"/>
    </row>
    <row r="31" spans="1:16" ht="13.5" thickBot="1">
      <c r="A31" s="340" t="s">
        <v>204</v>
      </c>
      <c r="B31" s="342"/>
      <c r="C31" s="341" t="s">
        <v>19</v>
      </c>
      <c r="D31" s="318" t="s">
        <v>43</v>
      </c>
      <c r="E31" s="319">
        <f aca="true" t="shared" si="0" ref="E31:N31">MEDIAN(E6:E17)</f>
        <v>100</v>
      </c>
      <c r="F31" s="319">
        <f t="shared" si="0"/>
        <v>100</v>
      </c>
      <c r="G31" s="319">
        <f t="shared" si="0"/>
        <v>100</v>
      </c>
      <c r="H31" s="319">
        <f t="shared" si="0"/>
        <v>100</v>
      </c>
      <c r="I31" s="319">
        <f t="shared" si="0"/>
        <v>100</v>
      </c>
      <c r="J31" s="319">
        <f t="shared" si="0"/>
        <v>100</v>
      </c>
      <c r="K31" s="319">
        <f t="shared" si="0"/>
        <v>100</v>
      </c>
      <c r="L31" s="319">
        <f t="shared" si="0"/>
        <v>91.66666666666667</v>
      </c>
      <c r="M31" s="319">
        <f t="shared" si="0"/>
        <v>100</v>
      </c>
      <c r="N31" s="320">
        <f t="shared" si="0"/>
        <v>95.83</v>
      </c>
      <c r="O31" s="333"/>
      <c r="P31" s="345" t="s">
        <v>250</v>
      </c>
    </row>
    <row r="32" spans="2:17" ht="13.5" thickBot="1">
      <c r="B32" s="296"/>
      <c r="C32" s="321" t="s">
        <v>25</v>
      </c>
      <c r="D32" s="322" t="s">
        <v>43</v>
      </c>
      <c r="E32" s="200">
        <f aca="true" t="shared" si="1" ref="E32:L32">MEDIAN(E19:E30)</f>
        <v>75.05175983436854</v>
      </c>
      <c r="F32" s="200">
        <f t="shared" si="1"/>
        <v>50</v>
      </c>
      <c r="G32" s="200">
        <f t="shared" si="1"/>
        <v>31.324110671936758</v>
      </c>
      <c r="H32" s="200">
        <f t="shared" si="1"/>
        <v>16.666666666666668</v>
      </c>
      <c r="I32" s="200">
        <f t="shared" si="1"/>
        <v>100</v>
      </c>
      <c r="J32" s="200">
        <f t="shared" si="1"/>
        <v>100</v>
      </c>
      <c r="K32" s="200">
        <f t="shared" si="1"/>
        <v>100</v>
      </c>
      <c r="L32" s="200">
        <f t="shared" si="1"/>
        <v>87.5</v>
      </c>
      <c r="M32" s="35"/>
      <c r="N32" s="36"/>
      <c r="O32" s="351"/>
      <c r="P32" s="281"/>
      <c r="Q32" s="129" t="s">
        <v>251</v>
      </c>
    </row>
    <row r="33" spans="1:22" ht="13.5" thickBot="1">
      <c r="A33" s="353"/>
      <c r="B33" s="352"/>
      <c r="C33" s="152"/>
      <c r="E33" s="350"/>
      <c r="F33" s="350"/>
      <c r="G33" s="350"/>
      <c r="H33" s="350"/>
      <c r="I33" s="350"/>
      <c r="J33" s="350"/>
      <c r="K33" s="350"/>
      <c r="L33" s="350"/>
      <c r="M33" s="350"/>
      <c r="N33" s="351"/>
      <c r="O33" s="212"/>
      <c r="P33" s="591"/>
      <c r="Q33" s="592" t="s">
        <v>252</v>
      </c>
      <c r="R33" s="22"/>
      <c r="S33" s="22"/>
      <c r="T33" s="22"/>
      <c r="U33" s="22"/>
      <c r="V33" s="22"/>
    </row>
    <row r="34" spans="1:23" ht="13.5" thickBot="1">
      <c r="A34" s="353"/>
      <c r="B34" s="352"/>
      <c r="C34" s="152"/>
      <c r="E34" s="350"/>
      <c r="F34" s="350"/>
      <c r="G34" s="350"/>
      <c r="H34" s="350"/>
      <c r="I34" s="350"/>
      <c r="J34" s="350"/>
      <c r="K34" s="350"/>
      <c r="L34" s="350"/>
      <c r="M34" s="350"/>
      <c r="N34" s="351"/>
      <c r="O34" s="212"/>
      <c r="P34" s="593" t="s">
        <v>249</v>
      </c>
      <c r="Q34" s="594"/>
      <c r="R34" s="595"/>
      <c r="S34" s="595"/>
      <c r="T34" s="595"/>
      <c r="U34" s="595"/>
      <c r="V34" s="596"/>
      <c r="W34" s="21"/>
    </row>
    <row r="35" spans="1:23" ht="13.5" thickBot="1">
      <c r="A35" s="353"/>
      <c r="B35" s="352"/>
      <c r="C35" s="152"/>
      <c r="E35" s="350"/>
      <c r="F35" s="350"/>
      <c r="G35" s="350"/>
      <c r="H35" s="350"/>
      <c r="I35" s="350"/>
      <c r="J35" s="350"/>
      <c r="K35" s="350"/>
      <c r="L35" s="350"/>
      <c r="M35" s="350"/>
      <c r="N35" s="351"/>
      <c r="O35" s="212"/>
      <c r="P35" s="597"/>
      <c r="Q35" s="598"/>
      <c r="R35" s="599"/>
      <c r="S35" s="106"/>
      <c r="T35" s="106"/>
      <c r="U35" s="106"/>
      <c r="V35" s="354"/>
      <c r="W35" s="21"/>
    </row>
    <row r="36" spans="1:22" ht="13.5" thickBot="1">
      <c r="A36" s="229"/>
      <c r="B36" s="240"/>
      <c r="G36" s="22"/>
      <c r="H36" s="22"/>
      <c r="I36" s="22"/>
      <c r="J36" s="22"/>
      <c r="K36" s="22"/>
      <c r="O36" s="354"/>
      <c r="P36" s="346" t="s">
        <v>206</v>
      </c>
      <c r="Q36" s="347"/>
      <c r="R36" s="47"/>
      <c r="S36" s="23"/>
      <c r="T36" s="23"/>
      <c r="U36" s="23"/>
      <c r="V36" s="23"/>
    </row>
    <row r="37" spans="2:25" ht="13.5" thickBot="1">
      <c r="B37" s="230"/>
      <c r="F37" s="19"/>
      <c r="G37" s="784" t="s">
        <v>254</v>
      </c>
      <c r="H37" s="785"/>
      <c r="I37" s="785"/>
      <c r="J37" s="785"/>
      <c r="K37" s="786"/>
      <c r="L37" s="21"/>
      <c r="O37" s="334"/>
      <c r="P37" s="348" t="s">
        <v>19</v>
      </c>
      <c r="Q37" s="349"/>
      <c r="R37" s="204"/>
      <c r="S37" s="22"/>
      <c r="T37" s="22"/>
      <c r="U37" s="22"/>
      <c r="V37" s="22"/>
      <c r="W37" s="22"/>
      <c r="X37" s="22"/>
      <c r="Y37" s="22"/>
    </row>
    <row r="38" spans="3:30" s="130" customFormat="1" ht="25.5" customHeight="1">
      <c r="C38" s="417"/>
      <c r="D38" s="417"/>
      <c r="E38" s="131"/>
      <c r="F38" s="418"/>
      <c r="G38" s="787" t="s">
        <v>219</v>
      </c>
      <c r="H38" s="743"/>
      <c r="I38" s="743" t="s">
        <v>220</v>
      </c>
      <c r="J38" s="743" t="s">
        <v>221</v>
      </c>
      <c r="K38" s="744"/>
      <c r="L38" s="419"/>
      <c r="M38" s="177"/>
      <c r="N38" s="131"/>
      <c r="O38" s="420" t="s">
        <v>153</v>
      </c>
      <c r="P38" s="421">
        <f aca="true" t="shared" si="2" ref="P38:Y38">AVERAGE(P6:P17)</f>
        <v>0.7722007083333334</v>
      </c>
      <c r="Q38" s="421">
        <f t="shared" si="2"/>
        <v>0.7902715416666667</v>
      </c>
      <c r="R38" s="421">
        <f t="shared" si="2"/>
        <v>0.8180456666666668</v>
      </c>
      <c r="S38" s="421">
        <f t="shared" si="2"/>
        <v>0.9624932083333332</v>
      </c>
      <c r="T38" s="421">
        <f t="shared" si="2"/>
        <v>0.7597172499999999</v>
      </c>
      <c r="U38" s="421">
        <f t="shared" si="2"/>
        <v>0.795822125</v>
      </c>
      <c r="V38" s="421">
        <f t="shared" si="2"/>
        <v>0.8069358749999999</v>
      </c>
      <c r="W38" s="421">
        <f t="shared" si="2"/>
        <v>0.9402694583333333</v>
      </c>
      <c r="X38" s="421">
        <f t="shared" si="2"/>
        <v>0.7883333333333332</v>
      </c>
      <c r="Y38" s="422">
        <f t="shared" si="2"/>
        <v>0.8649999999999999</v>
      </c>
      <c r="Z38" s="368"/>
      <c r="AA38" s="131"/>
      <c r="AB38" s="131"/>
      <c r="AC38" s="131"/>
      <c r="AD38" s="131"/>
    </row>
    <row r="39" spans="5:30" s="130" customFormat="1" ht="41.25" customHeight="1" thickBot="1">
      <c r="E39" s="131"/>
      <c r="F39" s="418"/>
      <c r="G39" s="787"/>
      <c r="H39" s="743"/>
      <c r="I39" s="743"/>
      <c r="J39" s="280" t="s">
        <v>218</v>
      </c>
      <c r="K39" s="416" t="s">
        <v>217</v>
      </c>
      <c r="L39" s="368"/>
      <c r="M39" s="131"/>
      <c r="N39" s="131"/>
      <c r="O39" s="423" t="s">
        <v>144</v>
      </c>
      <c r="P39" s="398">
        <f aca="true" t="shared" si="3" ref="P39:Y39">STDEV(P6:P17)</f>
        <v>0.13949763398408346</v>
      </c>
      <c r="Q39" s="398">
        <f t="shared" si="3"/>
        <v>0.18741087245122656</v>
      </c>
      <c r="R39" s="398">
        <f t="shared" si="3"/>
        <v>0.15803079545891932</v>
      </c>
      <c r="S39" s="398">
        <f t="shared" si="3"/>
        <v>0.1805009470455471</v>
      </c>
      <c r="T39" s="398">
        <f t="shared" si="3"/>
        <v>0.18124996190701856</v>
      </c>
      <c r="U39" s="398">
        <f t="shared" si="3"/>
        <v>0.1776814726948355</v>
      </c>
      <c r="V39" s="398">
        <f t="shared" si="3"/>
        <v>0.18304387432216743</v>
      </c>
      <c r="W39" s="398">
        <f t="shared" si="3"/>
        <v>0.269063403657396</v>
      </c>
      <c r="X39" s="398">
        <f t="shared" si="3"/>
        <v>0.1655752140724927</v>
      </c>
      <c r="Y39" s="399">
        <f t="shared" si="3"/>
        <v>0.18416889481718104</v>
      </c>
      <c r="Z39" s="368"/>
      <c r="AA39" s="131"/>
      <c r="AB39" s="131"/>
      <c r="AC39" s="131"/>
      <c r="AD39" s="131"/>
    </row>
    <row r="40" spans="5:30" s="130" customFormat="1" ht="34.5" customHeight="1" thickBot="1">
      <c r="E40" s="131"/>
      <c r="F40" s="418"/>
      <c r="G40" s="804" t="s">
        <v>216</v>
      </c>
      <c r="H40" s="270" t="s">
        <v>38</v>
      </c>
      <c r="I40" s="426">
        <f>M31</f>
        <v>100</v>
      </c>
      <c r="J40" s="429">
        <f>X38</f>
        <v>0.7883333333333332</v>
      </c>
      <c r="K40" s="415">
        <f>X39</f>
        <v>0.1655752140724927</v>
      </c>
      <c r="L40" s="368"/>
      <c r="M40" s="131"/>
      <c r="N40" s="131"/>
      <c r="O40" s="425"/>
      <c r="P40" s="782" t="s">
        <v>238</v>
      </c>
      <c r="Q40" s="783"/>
      <c r="R40" s="600"/>
      <c r="S40" s="424"/>
      <c r="T40" s="424"/>
      <c r="U40" s="424"/>
      <c r="V40" s="424"/>
      <c r="W40" s="424"/>
      <c r="X40" s="317"/>
      <c r="Y40" s="317"/>
      <c r="Z40" s="131"/>
      <c r="AA40" s="131"/>
      <c r="AB40" s="131"/>
      <c r="AC40" s="131"/>
      <c r="AD40" s="131"/>
    </row>
    <row r="41" spans="5:30" s="130" customFormat="1" ht="27.75" customHeight="1">
      <c r="E41" s="131"/>
      <c r="F41" s="418"/>
      <c r="G41" s="804"/>
      <c r="H41" s="270" t="s">
        <v>39</v>
      </c>
      <c r="I41" s="427">
        <f>N31</f>
        <v>95.83</v>
      </c>
      <c r="J41" s="430">
        <f>Y38</f>
        <v>0.8649999999999999</v>
      </c>
      <c r="K41" s="414">
        <f>Y39</f>
        <v>0.18416889481718104</v>
      </c>
      <c r="L41" s="368"/>
      <c r="M41" s="131"/>
      <c r="N41" s="131"/>
      <c r="O41" s="420" t="s">
        <v>153</v>
      </c>
      <c r="P41" s="569">
        <f>AVERAGE(P19:P21,P23,P25:P30)</f>
        <v>1.4149796000000001</v>
      </c>
      <c r="Q41" s="569">
        <f>AVERAGE(Q19:Q21,Q23,Q25:Q30)</f>
        <v>1.5983174999999998</v>
      </c>
      <c r="R41" s="570">
        <f>AVERAGE(R25:R30)</f>
        <v>1.6749800000000001</v>
      </c>
      <c r="S41" s="569">
        <f>AVERAGE(S25:S30)</f>
        <v>2.554140125</v>
      </c>
      <c r="T41" s="569">
        <f>AVERAGE(T19:T21,T23:T30)</f>
        <v>0.9302958181818181</v>
      </c>
      <c r="U41" s="569">
        <f>AVERAGE(U19:U21,U23:U30)</f>
        <v>1.1257432272727272</v>
      </c>
      <c r="V41" s="569">
        <f>AVERAGE(V19:V21,V23:V30)</f>
        <v>1.056050136363636</v>
      </c>
      <c r="W41" s="571">
        <f>AVERAGE(W19:W21,W23:W30)</f>
        <v>1.369680227272727</v>
      </c>
      <c r="X41" s="368"/>
      <c r="Y41" s="131"/>
      <c r="Z41" s="131"/>
      <c r="AA41" s="131"/>
      <c r="AB41" s="131"/>
      <c r="AC41" s="131"/>
      <c r="AD41" s="131"/>
    </row>
    <row r="42" spans="5:30" s="130" customFormat="1" ht="27" customHeight="1" thickBot="1">
      <c r="E42" s="131"/>
      <c r="F42" s="418"/>
      <c r="G42" s="803" t="s">
        <v>256</v>
      </c>
      <c r="H42" s="280" t="s">
        <v>38</v>
      </c>
      <c r="I42" s="427">
        <f>I32</f>
        <v>100</v>
      </c>
      <c r="J42" s="566">
        <f>T41</f>
        <v>0.9302958181818181</v>
      </c>
      <c r="K42" s="432">
        <f>T42</f>
        <v>0.2698550350134566</v>
      </c>
      <c r="L42" s="368"/>
      <c r="M42" s="131"/>
      <c r="N42" s="131"/>
      <c r="O42" s="423" t="s">
        <v>144</v>
      </c>
      <c r="P42" s="572">
        <f>STDEV(P19:P21,P23,P25:P30)</f>
        <v>0.35314525941080166</v>
      </c>
      <c r="Q42" s="572">
        <f>STDEV(Q19:Q21,Q23,Q25:Q30)</f>
        <v>0.435985517751833</v>
      </c>
      <c r="R42" s="572">
        <f>STDEV(R25:R30)</f>
        <v>0.47540964018430104</v>
      </c>
      <c r="S42" s="572">
        <f>STDEV(S25:S30)</f>
        <v>1.3607645253650842</v>
      </c>
      <c r="T42" s="572">
        <f>STDEV(T19:T21,T23:T30)</f>
        <v>0.2698550350134566</v>
      </c>
      <c r="U42" s="572">
        <f>STDEV(U19:U21,U23:U30)</f>
        <v>0.2758143903176885</v>
      </c>
      <c r="V42" s="572">
        <f>STDEV(V19:V21,V23:V30)</f>
        <v>0.27860867232707437</v>
      </c>
      <c r="W42" s="573">
        <f>STDEV(W19:W21,W23:W30)</f>
        <v>0.4987068718770768</v>
      </c>
      <c r="X42" s="368"/>
      <c r="Y42" s="131"/>
      <c r="Z42" s="131"/>
      <c r="AA42" s="131"/>
      <c r="AB42" s="131"/>
      <c r="AC42" s="131"/>
      <c r="AD42" s="131"/>
    </row>
    <row r="43" spans="6:23" ht="27" customHeight="1">
      <c r="F43" s="19"/>
      <c r="G43" s="803"/>
      <c r="H43" s="280" t="s">
        <v>39</v>
      </c>
      <c r="I43" s="427">
        <f>J32</f>
        <v>100</v>
      </c>
      <c r="J43" s="566">
        <f>U41</f>
        <v>1.1257432272727272</v>
      </c>
      <c r="K43" s="432">
        <f>U42</f>
        <v>0.2758143903176885</v>
      </c>
      <c r="L43" s="21"/>
      <c r="O43" s="23"/>
      <c r="R43" s="23"/>
      <c r="S43" s="23"/>
      <c r="T43" s="23"/>
      <c r="U43" s="23"/>
      <c r="V43" s="23"/>
      <c r="W43" s="23"/>
    </row>
    <row r="44" spans="6:12" ht="21.75" customHeight="1">
      <c r="F44" s="19"/>
      <c r="G44" s="801" t="s">
        <v>257</v>
      </c>
      <c r="H44" s="270" t="s">
        <v>38</v>
      </c>
      <c r="I44" s="427">
        <f>K32</f>
        <v>100</v>
      </c>
      <c r="J44" s="566">
        <f>V41</f>
        <v>1.056050136363636</v>
      </c>
      <c r="K44" s="432">
        <f>V42</f>
        <v>0.27860867232707437</v>
      </c>
      <c r="L44" s="21"/>
    </row>
    <row r="45" spans="6:12" ht="33" customHeight="1">
      <c r="F45" s="19"/>
      <c r="G45" s="801"/>
      <c r="H45" s="270" t="s">
        <v>39</v>
      </c>
      <c r="I45" s="427">
        <f>L32</f>
        <v>87.5</v>
      </c>
      <c r="J45" s="566">
        <f>W41</f>
        <v>1.369680227272727</v>
      </c>
      <c r="K45" s="432">
        <f>W42</f>
        <v>0.4987068718770768</v>
      </c>
      <c r="L45" s="21"/>
    </row>
    <row r="46" spans="6:12" ht="30" customHeight="1">
      <c r="F46" s="19"/>
      <c r="G46" s="803" t="s">
        <v>258</v>
      </c>
      <c r="H46" s="280" t="s">
        <v>38</v>
      </c>
      <c r="I46" s="427">
        <f>E32</f>
        <v>75.05175983436854</v>
      </c>
      <c r="J46" s="566">
        <f>P41</f>
        <v>1.4149796000000001</v>
      </c>
      <c r="K46" s="567">
        <f>P42</f>
        <v>0.35314525941080166</v>
      </c>
      <c r="L46" s="21"/>
    </row>
    <row r="47" spans="6:12" ht="21.75" customHeight="1">
      <c r="F47" s="19"/>
      <c r="G47" s="803"/>
      <c r="H47" s="280" t="s">
        <v>39</v>
      </c>
      <c r="I47" s="427">
        <f>F32</f>
        <v>50</v>
      </c>
      <c r="J47" s="566">
        <f>Q41</f>
        <v>1.5983174999999998</v>
      </c>
      <c r="K47" s="432">
        <f>Q42</f>
        <v>0.435985517751833</v>
      </c>
      <c r="L47" s="21"/>
    </row>
    <row r="48" spans="6:12" ht="25.5" customHeight="1">
      <c r="F48" s="19"/>
      <c r="G48" s="801" t="s">
        <v>259</v>
      </c>
      <c r="H48" s="270" t="s">
        <v>38</v>
      </c>
      <c r="I48" s="427">
        <f>G32</f>
        <v>31.324110671936758</v>
      </c>
      <c r="J48" s="433">
        <f>R41</f>
        <v>1.6749800000000001</v>
      </c>
      <c r="K48" s="432">
        <f>R42</f>
        <v>0.47540964018430104</v>
      </c>
      <c r="L48" s="21"/>
    </row>
    <row r="49" spans="6:12" ht="25.5" customHeight="1" thickBot="1">
      <c r="F49" s="19"/>
      <c r="G49" s="802"/>
      <c r="H49" s="431" t="s">
        <v>39</v>
      </c>
      <c r="I49" s="428">
        <f>H32</f>
        <v>16.666666666666668</v>
      </c>
      <c r="J49" s="434">
        <f>S41</f>
        <v>2.554140125</v>
      </c>
      <c r="K49" s="568">
        <f>S42</f>
        <v>1.3607645253650842</v>
      </c>
      <c r="L49" s="21"/>
    </row>
    <row r="50" spans="7:11" ht="15.75" customHeight="1">
      <c r="G50" s="798" t="s">
        <v>222</v>
      </c>
      <c r="H50" s="799"/>
      <c r="I50" s="799"/>
      <c r="J50" s="800"/>
      <c r="K50" s="413"/>
    </row>
    <row r="51" spans="7:11" ht="12.75">
      <c r="G51" s="702" t="s">
        <v>223</v>
      </c>
      <c r="H51" s="703"/>
      <c r="I51" s="703"/>
      <c r="J51" s="703"/>
      <c r="K51" s="704"/>
    </row>
    <row r="52" spans="7:11" ht="27" customHeight="1">
      <c r="G52" s="705"/>
      <c r="H52" s="706"/>
      <c r="I52" s="706"/>
      <c r="J52" s="706"/>
      <c r="K52" s="693"/>
    </row>
    <row r="53" spans="5:9" ht="12.75">
      <c r="E53" s="412"/>
      <c r="F53" s="132"/>
      <c r="G53" s="132"/>
      <c r="H53" s="132"/>
      <c r="I53" s="412"/>
    </row>
    <row r="54" spans="5:9" ht="12.75">
      <c r="E54" s="412"/>
      <c r="F54" s="412"/>
      <c r="G54" s="412"/>
      <c r="H54" s="412"/>
      <c r="I54" s="412"/>
    </row>
    <row r="55" spans="5:9" ht="12.75">
      <c r="E55" s="412"/>
      <c r="F55" s="412"/>
      <c r="G55" s="412"/>
      <c r="H55" s="412"/>
      <c r="I55" s="412"/>
    </row>
    <row r="56" spans="5:9" ht="12.75">
      <c r="E56" s="412"/>
      <c r="F56" s="412"/>
      <c r="G56" s="412"/>
      <c r="H56" s="412"/>
      <c r="I56" s="412"/>
    </row>
    <row r="57" spans="5:9" ht="12.75">
      <c r="E57" s="412"/>
      <c r="F57" s="412"/>
      <c r="G57" s="412"/>
      <c r="H57" s="412"/>
      <c r="I57" s="412"/>
    </row>
    <row r="58" spans="5:9" ht="12.75">
      <c r="E58" s="412"/>
      <c r="F58" s="412"/>
      <c r="G58" s="412"/>
      <c r="H58" s="412"/>
      <c r="I58" s="412"/>
    </row>
    <row r="59" spans="5:9" ht="12.75">
      <c r="E59" s="412"/>
      <c r="F59" s="412"/>
      <c r="G59" s="412"/>
      <c r="H59" s="412"/>
      <c r="I59" s="412"/>
    </row>
    <row r="60" spans="5:9" ht="12.75">
      <c r="E60" s="412"/>
      <c r="F60" s="412"/>
      <c r="G60" s="412"/>
      <c r="H60" s="412"/>
      <c r="I60" s="412"/>
    </row>
    <row r="61" spans="5:9" ht="12.75">
      <c r="E61" s="412"/>
      <c r="F61" s="412"/>
      <c r="G61" s="412"/>
      <c r="H61" s="412"/>
      <c r="I61" s="412"/>
    </row>
    <row r="62" spans="5:9" ht="12.75">
      <c r="E62" s="412"/>
      <c r="F62" s="412"/>
      <c r="G62" s="412"/>
      <c r="H62" s="412"/>
      <c r="I62" s="412"/>
    </row>
    <row r="63" spans="5:9" ht="12.75">
      <c r="E63" s="412"/>
      <c r="F63" s="412"/>
      <c r="G63" s="412"/>
      <c r="H63" s="412"/>
      <c r="I63" s="412"/>
    </row>
    <row r="64" spans="5:9" ht="12.75">
      <c r="E64" s="412"/>
      <c r="F64" s="412"/>
      <c r="G64" s="412"/>
      <c r="H64" s="412"/>
      <c r="I64" s="412"/>
    </row>
    <row r="65" spans="5:9" ht="12.75">
      <c r="E65" s="412"/>
      <c r="F65" s="412"/>
      <c r="G65" s="412"/>
      <c r="H65" s="412"/>
      <c r="I65" s="412"/>
    </row>
    <row r="66" spans="5:9" ht="12.75">
      <c r="E66" s="412"/>
      <c r="F66" s="412"/>
      <c r="G66" s="412"/>
      <c r="H66" s="412"/>
      <c r="I66" s="412"/>
    </row>
    <row r="67" spans="5:9" ht="12.75">
      <c r="E67" s="412"/>
      <c r="F67" s="412"/>
      <c r="G67" s="412"/>
      <c r="H67" s="412"/>
      <c r="I67" s="412"/>
    </row>
    <row r="68" spans="5:9" ht="12.75">
      <c r="E68" s="412"/>
      <c r="F68" s="412"/>
      <c r="G68" s="412"/>
      <c r="H68" s="412"/>
      <c r="I68" s="412"/>
    </row>
    <row r="69" spans="5:9" ht="12.75">
      <c r="E69" s="412"/>
      <c r="F69" s="412"/>
      <c r="G69" s="412"/>
      <c r="H69" s="412"/>
      <c r="I69" s="412"/>
    </row>
    <row r="70" spans="5:9" ht="12.75">
      <c r="E70" s="412"/>
      <c r="F70" s="412"/>
      <c r="G70" s="412"/>
      <c r="H70" s="412"/>
      <c r="I70" s="412"/>
    </row>
    <row r="71" spans="5:9" ht="12.75">
      <c r="E71" s="412"/>
      <c r="F71" s="412"/>
      <c r="G71" s="412"/>
      <c r="H71" s="412"/>
      <c r="I71" s="412"/>
    </row>
    <row r="72" spans="5:9" ht="12.75">
      <c r="E72" s="412"/>
      <c r="F72" s="412"/>
      <c r="G72" s="412"/>
      <c r="H72" s="412"/>
      <c r="I72" s="412"/>
    </row>
    <row r="73" spans="5:9" ht="12.75">
      <c r="E73" s="412"/>
      <c r="F73" s="412"/>
      <c r="G73" s="412"/>
      <c r="H73" s="412"/>
      <c r="I73" s="412"/>
    </row>
    <row r="74" spans="5:9" ht="12.75">
      <c r="E74" s="412"/>
      <c r="F74" s="412"/>
      <c r="G74" s="412"/>
      <c r="H74" s="412"/>
      <c r="I74" s="412"/>
    </row>
    <row r="75" spans="5:9" ht="12.75">
      <c r="E75" s="412"/>
      <c r="F75" s="412"/>
      <c r="G75" s="412"/>
      <c r="H75" s="412"/>
      <c r="I75" s="412"/>
    </row>
    <row r="76" spans="5:9" ht="12.75">
      <c r="E76" s="412"/>
      <c r="F76" s="412"/>
      <c r="G76" s="412"/>
      <c r="H76" s="412"/>
      <c r="I76" s="412"/>
    </row>
  </sheetData>
  <mergeCells count="32">
    <mergeCell ref="G50:J50"/>
    <mergeCell ref="G51:K52"/>
    <mergeCell ref="G48:G49"/>
    <mergeCell ref="I2:J2"/>
    <mergeCell ref="K2:L2"/>
    <mergeCell ref="G42:G43"/>
    <mergeCell ref="G44:G45"/>
    <mergeCell ref="G40:G41"/>
    <mergeCell ref="G46:G47"/>
    <mergeCell ref="A1:A2"/>
    <mergeCell ref="B2:B3"/>
    <mergeCell ref="C2:D2"/>
    <mergeCell ref="B1:D1"/>
    <mergeCell ref="E1:L1"/>
    <mergeCell ref="M1:N2"/>
    <mergeCell ref="P1:W1"/>
    <mergeCell ref="X1:Y2"/>
    <mergeCell ref="P2:Q2"/>
    <mergeCell ref="R2:S2"/>
    <mergeCell ref="T2:U2"/>
    <mergeCell ref="V2:W2"/>
    <mergeCell ref="E2:F2"/>
    <mergeCell ref="G2:H2"/>
    <mergeCell ref="P5:Y5"/>
    <mergeCell ref="E18:N18"/>
    <mergeCell ref="P18:Y18"/>
    <mergeCell ref="P40:Q40"/>
    <mergeCell ref="G37:K37"/>
    <mergeCell ref="J38:K38"/>
    <mergeCell ref="E5:N5"/>
    <mergeCell ref="I38:I39"/>
    <mergeCell ref="G38:H3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4"/>
  <sheetViews>
    <sheetView zoomScale="75" zoomScaleNormal="75" workbookViewId="0" topLeftCell="A1">
      <pane xSplit="4" ySplit="4" topLeftCell="E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H46" sqref="H46:I46"/>
    </sheetView>
  </sheetViews>
  <sheetFormatPr defaultColWidth="9.140625" defaultRowHeight="12.75"/>
  <cols>
    <col min="1" max="1" width="13.7109375" style="0" customWidth="1"/>
    <col min="2" max="2" width="11.8515625" style="0" customWidth="1"/>
    <col min="5" max="5" width="12.8515625" style="131" customWidth="1"/>
    <col min="6" max="8" width="9.140625" style="131" customWidth="1"/>
    <col min="9" max="9" width="11.28125" style="131" customWidth="1"/>
    <col min="10" max="21" width="9.140625" style="131" customWidth="1"/>
  </cols>
  <sheetData>
    <row r="1" spans="1:21" s="7" customFormat="1" ht="42" customHeight="1">
      <c r="A1" s="685" t="str">
        <f>IF('Demog &amp; vision'!A1="","",'Demog &amp; vision'!A1)</f>
        <v>Simulator-driving with hemianopia:
1. Detection performance</v>
      </c>
      <c r="B1" s="775" t="s">
        <v>202</v>
      </c>
      <c r="C1" s="797"/>
      <c r="D1" s="797"/>
      <c r="E1" s="686" t="s">
        <v>110</v>
      </c>
      <c r="F1" s="686"/>
      <c r="G1" s="686"/>
      <c r="H1" s="686"/>
      <c r="I1" s="778" t="s">
        <v>111</v>
      </c>
      <c r="J1" s="18" t="s">
        <v>106</v>
      </c>
      <c r="K1" s="18"/>
      <c r="L1" s="817" t="s">
        <v>108</v>
      </c>
      <c r="M1" s="818"/>
      <c r="N1" s="228"/>
      <c r="O1" s="16"/>
      <c r="P1" s="16"/>
      <c r="Q1" s="16"/>
      <c r="R1" s="16"/>
      <c r="S1" s="16"/>
      <c r="T1" s="16"/>
      <c r="U1" s="16"/>
    </row>
    <row r="2" spans="1:21" s="7" customFormat="1" ht="37.5" customHeight="1">
      <c r="A2" s="733"/>
      <c r="B2" s="734" t="s">
        <v>31</v>
      </c>
      <c r="C2" s="721" t="s">
        <v>172</v>
      </c>
      <c r="D2" s="796"/>
      <c r="E2" s="688" t="s">
        <v>94</v>
      </c>
      <c r="F2" s="688"/>
      <c r="G2" s="688" t="s">
        <v>95</v>
      </c>
      <c r="H2" s="688"/>
      <c r="I2" s="738"/>
      <c r="J2" s="366" t="s">
        <v>107</v>
      </c>
      <c r="K2" s="366" t="s">
        <v>203</v>
      </c>
      <c r="L2" s="819"/>
      <c r="M2" s="820"/>
      <c r="N2" s="314"/>
      <c r="O2" s="16"/>
      <c r="R2" s="16"/>
      <c r="S2" s="16"/>
      <c r="T2" s="16"/>
      <c r="U2" s="16"/>
    </row>
    <row r="3" spans="1:21" s="227" customFormat="1" ht="48" customHeight="1">
      <c r="A3" s="275" t="str">
        <f>IF('Demog &amp; vision'!A3="","",'Demog &amp; vision'!A3)</f>
        <v>Subject ID</v>
      </c>
      <c r="B3" s="734"/>
      <c r="C3" s="14" t="s">
        <v>173</v>
      </c>
      <c r="D3" s="283" t="s">
        <v>174</v>
      </c>
      <c r="E3" s="147" t="s">
        <v>92</v>
      </c>
      <c r="F3" s="147" t="s">
        <v>93</v>
      </c>
      <c r="G3" s="147" t="s">
        <v>92</v>
      </c>
      <c r="H3" s="147" t="s">
        <v>93</v>
      </c>
      <c r="I3" s="175" t="s">
        <v>96</v>
      </c>
      <c r="J3" s="146" t="s">
        <v>109</v>
      </c>
      <c r="K3" s="146" t="s">
        <v>109</v>
      </c>
      <c r="L3" s="367" t="s">
        <v>96</v>
      </c>
      <c r="M3" s="389" t="s">
        <v>109</v>
      </c>
      <c r="N3" s="315"/>
      <c r="O3" s="16"/>
      <c r="R3" s="16"/>
      <c r="S3" s="16"/>
      <c r="T3" s="16"/>
      <c r="U3" s="16"/>
    </row>
    <row r="4" spans="1:14" ht="12.75">
      <c r="A4" s="272"/>
      <c r="B4" s="261"/>
      <c r="C4" s="261"/>
      <c r="D4" s="261"/>
      <c r="E4" s="316" t="s">
        <v>17</v>
      </c>
      <c r="F4" s="316"/>
      <c r="G4" s="316" t="s">
        <v>18</v>
      </c>
      <c r="H4" s="317"/>
      <c r="I4" s="317"/>
      <c r="J4" s="317"/>
      <c r="K4" s="317"/>
      <c r="L4" s="317"/>
      <c r="M4" s="390"/>
      <c r="N4" s="368"/>
    </row>
    <row r="5" spans="1:16" ht="12.75">
      <c r="A5" s="400"/>
      <c r="B5" s="401"/>
      <c r="C5" s="401"/>
      <c r="D5" s="402"/>
      <c r="E5" s="698" t="s">
        <v>167</v>
      </c>
      <c r="F5" s="689"/>
      <c r="G5" s="689"/>
      <c r="H5" s="689"/>
      <c r="I5" s="689"/>
      <c r="J5" s="689"/>
      <c r="K5" s="689"/>
      <c r="L5" s="689"/>
      <c r="M5" s="690"/>
      <c r="N5" s="152"/>
      <c r="O5"/>
      <c r="P5"/>
    </row>
    <row r="6" spans="1:15" ht="12.75">
      <c r="A6" s="297" t="str">
        <f>IF('Demog &amp; vision'!A5="","",'Demog &amp; vision'!A5)</f>
        <v>NV1</v>
      </c>
      <c r="B6" s="298" t="str">
        <f>IF('Demog &amp; vision'!F5="","",'Demog &amp; vision'!F5)</f>
        <v>"Left"</v>
      </c>
      <c r="C6" s="298" t="str">
        <f>IF('I-Ped'!C6="","",'I-Ped'!C6)</f>
        <v>NV</v>
      </c>
      <c r="D6" s="298" t="str">
        <f>IF('I-Ped'!D6="","",'I-Ped'!D6)</f>
        <v>NV</v>
      </c>
      <c r="E6" s="391">
        <v>11.31407</v>
      </c>
      <c r="F6" s="372">
        <f aca="true" t="shared" si="0" ref="F6:F17">(E6*2.237)</f>
        <v>25.30957459</v>
      </c>
      <c r="G6" s="391">
        <v>23.96638</v>
      </c>
      <c r="H6" s="372">
        <f aca="true" t="shared" si="1" ref="H6:H17">(G6*2.237)</f>
        <v>53.612792060000004</v>
      </c>
      <c r="I6" s="370">
        <v>0</v>
      </c>
      <c r="J6" s="392">
        <v>0</v>
      </c>
      <c r="K6" s="392">
        <v>2.631578947368421</v>
      </c>
      <c r="L6" s="370">
        <v>2</v>
      </c>
      <c r="M6" s="393">
        <v>1.2987012987012987</v>
      </c>
      <c r="N6" s="368"/>
      <c r="O6" s="140"/>
    </row>
    <row r="7" spans="1:15" ht="12.75">
      <c r="A7" s="297" t="str">
        <f>IF('Demog &amp; vision'!A6="","",'Demog &amp; vision'!A6)</f>
        <v>NV2</v>
      </c>
      <c r="B7" s="298" t="str">
        <f>IF('Demog &amp; vision'!F6="","",'Demog &amp; vision'!F6)</f>
        <v>"Left"</v>
      </c>
      <c r="C7" s="298" t="str">
        <f>IF('I-Ped'!C7="","",'I-Ped'!C7)</f>
        <v>NV</v>
      </c>
      <c r="D7" s="298" t="str">
        <f>IF('I-Ped'!D7="","",'I-Ped'!D7)</f>
        <v>NV</v>
      </c>
      <c r="E7" s="391">
        <v>12.24791</v>
      </c>
      <c r="F7" s="372">
        <f t="shared" si="0"/>
        <v>27.39857467</v>
      </c>
      <c r="G7" s="391">
        <v>23.18937</v>
      </c>
      <c r="H7" s="372">
        <f t="shared" si="1"/>
        <v>51.87462069</v>
      </c>
      <c r="I7" s="370">
        <v>0</v>
      </c>
      <c r="J7" s="392">
        <v>0</v>
      </c>
      <c r="K7" s="392">
        <v>7.894736842105263</v>
      </c>
      <c r="L7" s="370">
        <v>0.5</v>
      </c>
      <c r="M7" s="393">
        <v>0.3246753246753247</v>
      </c>
      <c r="N7" s="368"/>
      <c r="O7" s="140"/>
    </row>
    <row r="8" spans="1:15" ht="12.75">
      <c r="A8" s="297" t="str">
        <f>IF('Demog &amp; vision'!A7="","",'Demog &amp; vision'!A7)</f>
        <v>NV3</v>
      </c>
      <c r="B8" s="298" t="str">
        <f>IF('Demog &amp; vision'!F7="","",'Demog &amp; vision'!F7)</f>
        <v>"Left"</v>
      </c>
      <c r="C8" s="298" t="str">
        <f>IF('I-Ped'!C8="","",'I-Ped'!C8)</f>
        <v>NV</v>
      </c>
      <c r="D8" s="298" t="str">
        <f>IF('I-Ped'!D8="","",'I-Ped'!D8)</f>
        <v>NV</v>
      </c>
      <c r="E8" s="391">
        <v>10.380115</v>
      </c>
      <c r="F8" s="372">
        <f t="shared" si="0"/>
        <v>23.220317255</v>
      </c>
      <c r="G8" s="391">
        <v>21.16041</v>
      </c>
      <c r="H8" s="372">
        <f t="shared" si="1"/>
        <v>47.33583717</v>
      </c>
      <c r="I8" s="370">
        <v>0</v>
      </c>
      <c r="J8" s="392">
        <v>3.225806451612903</v>
      </c>
      <c r="K8" s="392">
        <v>5.263157894736842</v>
      </c>
      <c r="L8" s="370">
        <v>5</v>
      </c>
      <c r="M8" s="393">
        <v>3.2467532467532463</v>
      </c>
      <c r="N8" s="368"/>
      <c r="O8" s="140"/>
    </row>
    <row r="9" spans="1:15" ht="12.75">
      <c r="A9" s="297" t="str">
        <f>IF('Demog &amp; vision'!A8="","",'Demog &amp; vision'!A8)</f>
        <v>NV4</v>
      </c>
      <c r="B9" s="298" t="str">
        <f>IF('Demog &amp; vision'!F8="","",'Demog &amp; vision'!F8)</f>
        <v>"Left"</v>
      </c>
      <c r="C9" s="298" t="str">
        <f>IF('I-Ped'!C9="","",'I-Ped'!C9)</f>
        <v>NV</v>
      </c>
      <c r="D9" s="298" t="str">
        <f>IF('I-Ped'!D9="","",'I-Ped'!D9)</f>
        <v>NV</v>
      </c>
      <c r="E9" s="391">
        <v>9.4053685</v>
      </c>
      <c r="F9" s="372">
        <f t="shared" si="0"/>
        <v>21.0398093345</v>
      </c>
      <c r="G9" s="391">
        <v>21.20433</v>
      </c>
      <c r="H9" s="372">
        <f t="shared" si="1"/>
        <v>47.43408621</v>
      </c>
      <c r="I9" s="370">
        <v>1</v>
      </c>
      <c r="J9" s="392">
        <v>0</v>
      </c>
      <c r="K9" s="392">
        <v>9.75609756097561</v>
      </c>
      <c r="L9" s="370">
        <v>1.5</v>
      </c>
      <c r="M9" s="393">
        <v>0.974025974025974</v>
      </c>
      <c r="N9" s="368"/>
      <c r="O9" s="140"/>
    </row>
    <row r="10" spans="1:15" ht="12.75">
      <c r="A10" s="297" t="str">
        <f>IF('Demog &amp; vision'!A9="","",'Demog &amp; vision'!A9)</f>
        <v>NV5</v>
      </c>
      <c r="B10" s="298" t="str">
        <f>IF('Demog &amp; vision'!F9="","",'Demog &amp; vision'!F9)</f>
        <v>"Left"</v>
      </c>
      <c r="C10" s="298" t="str">
        <f>IF('I-Ped'!C10="","",'I-Ped'!C10)</f>
        <v>NV</v>
      </c>
      <c r="D10" s="298" t="str">
        <f>IF('I-Ped'!D10="","",'I-Ped'!D10)</f>
        <v>NV</v>
      </c>
      <c r="E10" s="391">
        <v>13.06908</v>
      </c>
      <c r="F10" s="372">
        <f t="shared" si="0"/>
        <v>29.23553196</v>
      </c>
      <c r="G10" s="391">
        <v>25.61056</v>
      </c>
      <c r="H10" s="372">
        <f t="shared" si="1"/>
        <v>57.29082272</v>
      </c>
      <c r="I10" s="370">
        <v>0</v>
      </c>
      <c r="J10" s="392">
        <v>0</v>
      </c>
      <c r="K10" s="392">
        <v>14.634146341463413</v>
      </c>
      <c r="L10" s="370">
        <v>1</v>
      </c>
      <c r="M10" s="393">
        <v>0.6493506493506493</v>
      </c>
      <c r="N10" s="368"/>
      <c r="O10" s="140"/>
    </row>
    <row r="11" spans="1:15" ht="12.75">
      <c r="A11" s="297" t="str">
        <f>IF('Demog &amp; vision'!A10="","",'Demog &amp; vision'!A10)</f>
        <v>NV6</v>
      </c>
      <c r="B11" s="298" t="str">
        <f>IF('Demog &amp; vision'!F10="","",'Demog &amp; vision'!F10)</f>
        <v>"Left"</v>
      </c>
      <c r="C11" s="298" t="str">
        <f>IF('I-Ped'!C11="","",'I-Ped'!C11)</f>
        <v>NV</v>
      </c>
      <c r="D11" s="298" t="str">
        <f>IF('I-Ped'!D11="","",'I-Ped'!D11)</f>
        <v>NV</v>
      </c>
      <c r="E11" s="391">
        <v>11.70484</v>
      </c>
      <c r="F11" s="372">
        <f t="shared" si="0"/>
        <v>26.183727080000004</v>
      </c>
      <c r="G11" s="391">
        <v>21.57048</v>
      </c>
      <c r="H11" s="372">
        <f t="shared" si="1"/>
        <v>48.25316376</v>
      </c>
      <c r="I11" s="370">
        <v>0</v>
      </c>
      <c r="J11" s="392">
        <v>0</v>
      </c>
      <c r="K11" s="392">
        <v>4.878048780487805</v>
      </c>
      <c r="L11" s="370">
        <v>1</v>
      </c>
      <c r="M11" s="393">
        <v>0.6493506493506493</v>
      </c>
      <c r="N11" s="368"/>
      <c r="O11" s="140"/>
    </row>
    <row r="12" spans="1:15" ht="12.75">
      <c r="A12" s="297" t="str">
        <f>IF('Demog &amp; vision'!A11="","",'Demog &amp; vision'!A11)</f>
        <v>NV7</v>
      </c>
      <c r="B12" s="298" t="str">
        <f>IF('Demog &amp; vision'!F11="","",'Demog &amp; vision'!F11)</f>
        <v>"Right"</v>
      </c>
      <c r="C12" s="298" t="str">
        <f>IF('I-Ped'!C12="","",'I-Ped'!C12)</f>
        <v>NV</v>
      </c>
      <c r="D12" s="298" t="str">
        <f>IF('I-Ped'!D12="","",'I-Ped'!D12)</f>
        <v>NV</v>
      </c>
      <c r="E12" s="391">
        <v>10.287445</v>
      </c>
      <c r="F12" s="372">
        <f t="shared" si="0"/>
        <v>23.013014465</v>
      </c>
      <c r="G12" s="391">
        <v>20.83555</v>
      </c>
      <c r="H12" s="372">
        <f t="shared" si="1"/>
        <v>46.60912535000001</v>
      </c>
      <c r="I12" s="370">
        <v>0</v>
      </c>
      <c r="J12" s="392">
        <v>0</v>
      </c>
      <c r="K12" s="392">
        <v>5.263157894736842</v>
      </c>
      <c r="L12" s="370">
        <v>0.5</v>
      </c>
      <c r="M12" s="393">
        <v>0.3246753246753247</v>
      </c>
      <c r="N12" s="368"/>
      <c r="O12" s="140"/>
    </row>
    <row r="13" spans="1:15" ht="12.75">
      <c r="A13" s="297" t="str">
        <f>IF('Demog &amp; vision'!A12="","",'Demog &amp; vision'!A12)</f>
        <v>NV8</v>
      </c>
      <c r="B13" s="298" t="str">
        <f>IF('Demog &amp; vision'!F12="","",'Demog &amp; vision'!F12)</f>
        <v>"Right"</v>
      </c>
      <c r="C13" s="298" t="str">
        <f>IF('I-Ped'!C13="","",'I-Ped'!C13)</f>
        <v>NV</v>
      </c>
      <c r="D13" s="298" t="str">
        <f>IF('I-Ped'!D13="","",'I-Ped'!D13)</f>
        <v>NV</v>
      </c>
      <c r="E13" s="391">
        <v>11.341155</v>
      </c>
      <c r="F13" s="372">
        <f t="shared" si="0"/>
        <v>25.370163735000002</v>
      </c>
      <c r="G13" s="391">
        <v>23.81761</v>
      </c>
      <c r="H13" s="372">
        <f t="shared" si="1"/>
        <v>53.27999357</v>
      </c>
      <c r="I13" s="370">
        <v>0</v>
      </c>
      <c r="J13" s="392">
        <v>0</v>
      </c>
      <c r="K13" s="392">
        <v>2.631578947368421</v>
      </c>
      <c r="L13" s="370">
        <v>2.5</v>
      </c>
      <c r="M13" s="393">
        <v>1.6233766233766231</v>
      </c>
      <c r="N13" s="368"/>
      <c r="O13" s="140"/>
    </row>
    <row r="14" spans="1:15" ht="12.75">
      <c r="A14" s="297" t="str">
        <f>IF('Demog &amp; vision'!A13="","",'Demog &amp; vision'!A13)</f>
        <v>NV9</v>
      </c>
      <c r="B14" s="298" t="str">
        <f>IF('Demog &amp; vision'!F13="","",'Demog &amp; vision'!F13)</f>
        <v>"Right"</v>
      </c>
      <c r="C14" s="298" t="str">
        <f>IF('I-Ped'!C14="","",'I-Ped'!C14)</f>
        <v>NV</v>
      </c>
      <c r="D14" s="298" t="str">
        <f>IF('I-Ped'!D14="","",'I-Ped'!D14)</f>
        <v>NV</v>
      </c>
      <c r="E14" s="391">
        <v>10.67228</v>
      </c>
      <c r="F14" s="372">
        <f t="shared" si="0"/>
        <v>23.87389036</v>
      </c>
      <c r="G14" s="391">
        <v>22.27431</v>
      </c>
      <c r="H14" s="372">
        <f t="shared" si="1"/>
        <v>49.82763147</v>
      </c>
      <c r="I14" s="370">
        <v>0</v>
      </c>
      <c r="J14" s="392">
        <v>0</v>
      </c>
      <c r="K14" s="392">
        <v>2.631578947368421</v>
      </c>
      <c r="L14" s="370">
        <v>5</v>
      </c>
      <c r="M14" s="393">
        <v>3.2467532467532463</v>
      </c>
      <c r="N14" s="368"/>
      <c r="O14" s="140"/>
    </row>
    <row r="15" spans="1:15" ht="12.75">
      <c r="A15" s="297" t="str">
        <f>IF('Demog &amp; vision'!A14="","",'Demog &amp; vision'!A14)</f>
        <v>NV10</v>
      </c>
      <c r="B15" s="298" t="str">
        <f>IF('Demog &amp; vision'!F14="","",'Demog &amp; vision'!F14)</f>
        <v>"Right"</v>
      </c>
      <c r="C15" s="298" t="str">
        <f>IF('I-Ped'!C15="","",'I-Ped'!C15)</f>
        <v>NV</v>
      </c>
      <c r="D15" s="298" t="str">
        <f>IF('I-Ped'!D15="","",'I-Ped'!D15)</f>
        <v>NV</v>
      </c>
      <c r="E15" s="391">
        <v>13.736075</v>
      </c>
      <c r="F15" s="372">
        <f t="shared" si="0"/>
        <v>30.727599775</v>
      </c>
      <c r="G15" s="391">
        <v>25.15247</v>
      </c>
      <c r="H15" s="372">
        <f t="shared" si="1"/>
        <v>56.266075390000005</v>
      </c>
      <c r="I15" s="370">
        <v>1</v>
      </c>
      <c r="J15" s="392">
        <v>0</v>
      </c>
      <c r="K15" s="392">
        <v>0</v>
      </c>
      <c r="L15" s="370">
        <v>2</v>
      </c>
      <c r="M15" s="393">
        <v>1.2987012987012987</v>
      </c>
      <c r="N15" s="368"/>
      <c r="O15" s="140"/>
    </row>
    <row r="16" spans="1:15" ht="12.75">
      <c r="A16" s="297" t="str">
        <f>IF('Demog &amp; vision'!A15="","",'Demog &amp; vision'!A15)</f>
        <v>NV11</v>
      </c>
      <c r="B16" s="298" t="str">
        <f>IF('Demog &amp; vision'!F15="","",'Demog &amp; vision'!F15)</f>
        <v>"Right"</v>
      </c>
      <c r="C16" s="298" t="str">
        <f>IF('I-Ped'!C16="","",'I-Ped'!C16)</f>
        <v>NV</v>
      </c>
      <c r="D16" s="298" t="str">
        <f>IF('I-Ped'!D16="","",'I-Ped'!D16)</f>
        <v>NV</v>
      </c>
      <c r="E16" s="391">
        <v>10.621955</v>
      </c>
      <c r="F16" s="372">
        <f t="shared" si="0"/>
        <v>23.761313335</v>
      </c>
      <c r="G16" s="391">
        <v>22.35464</v>
      </c>
      <c r="H16" s="372">
        <f t="shared" si="1"/>
        <v>50.007329680000005</v>
      </c>
      <c r="I16" s="370">
        <v>0</v>
      </c>
      <c r="J16" s="392">
        <v>0</v>
      </c>
      <c r="K16" s="392">
        <v>4.878048780487805</v>
      </c>
      <c r="L16" s="370">
        <v>0.5</v>
      </c>
      <c r="M16" s="393">
        <v>0.3246753246753247</v>
      </c>
      <c r="N16" s="368"/>
      <c r="O16" s="140"/>
    </row>
    <row r="17" spans="1:15" ht="12.75">
      <c r="A17" s="403" t="str">
        <f>IF('Demog &amp; vision'!A16="","",'Demog &amp; vision'!A16)</f>
        <v>NV12</v>
      </c>
      <c r="B17" s="404" t="str">
        <f>IF('Demog &amp; vision'!F16="","",'Demog &amp; vision'!F16)</f>
        <v>"Right"</v>
      </c>
      <c r="C17" s="404" t="str">
        <f>IF('I-Ped'!C17="","",'I-Ped'!C17)</f>
        <v>NV</v>
      </c>
      <c r="D17" s="404" t="str">
        <f>IF('I-Ped'!D17="","",'I-Ped'!D17)</f>
        <v>NV</v>
      </c>
      <c r="E17" s="391">
        <v>13.559895</v>
      </c>
      <c r="F17" s="372">
        <f t="shared" si="0"/>
        <v>30.333485115</v>
      </c>
      <c r="G17" s="391">
        <v>24.57022</v>
      </c>
      <c r="H17" s="372">
        <f t="shared" si="1"/>
        <v>54.96358214</v>
      </c>
      <c r="I17" s="370">
        <v>0</v>
      </c>
      <c r="J17" s="392">
        <v>0</v>
      </c>
      <c r="K17" s="392">
        <v>0</v>
      </c>
      <c r="L17" s="370">
        <v>2</v>
      </c>
      <c r="M17" s="393">
        <v>1.2987012987012987</v>
      </c>
      <c r="N17" s="368"/>
      <c r="O17" s="140"/>
    </row>
    <row r="18" spans="1:16" ht="12.75">
      <c r="A18" s="400">
        <f>IF('Demog &amp; vision'!A17="","",'Demog &amp; vision'!A17)</f>
      </c>
      <c r="B18" s="401">
        <f>IF('Demog &amp; vision'!F17="","",'Demog &amp; vision'!F17)</f>
      </c>
      <c r="C18" s="401">
        <f>IF('I-Ped'!C18="","",'I-Ped'!C18)</f>
      </c>
      <c r="D18" s="402">
        <f>IF('I-Ped'!D18="","",'I-Ped'!D18)</f>
      </c>
      <c r="E18" s="698" t="s">
        <v>168</v>
      </c>
      <c r="F18" s="689"/>
      <c r="G18" s="689"/>
      <c r="H18" s="689"/>
      <c r="I18" s="689"/>
      <c r="J18" s="689"/>
      <c r="K18" s="689"/>
      <c r="L18" s="689"/>
      <c r="M18" s="690"/>
      <c r="N18" s="152"/>
      <c r="O18"/>
      <c r="P18"/>
    </row>
    <row r="19" spans="1:15" ht="12.75">
      <c r="A19" s="297" t="str">
        <f>IF('Demog &amp; vision'!A18="","",'Demog &amp; vision'!A18)</f>
        <v>HH1</v>
      </c>
      <c r="B19" s="298" t="str">
        <f>IF('Demog &amp; vision'!F18="","",'Demog &amp; vision'!F18)</f>
        <v>Left</v>
      </c>
      <c r="C19" s="298" t="str">
        <f>IF('I-Ped'!C19="","",'I-Ped'!C19)</f>
        <v>HH</v>
      </c>
      <c r="D19" s="298" t="str">
        <f>IF('I-Ped'!D19="","",'I-Ped'!D19)</f>
        <v>LHH</v>
      </c>
      <c r="E19" s="391">
        <v>11.58952</v>
      </c>
      <c r="F19" s="372">
        <f aca="true" t="shared" si="2" ref="F19:F30">(E19*2.237)</f>
        <v>25.925756240000002</v>
      </c>
      <c r="G19" s="391">
        <v>22.91859</v>
      </c>
      <c r="H19" s="372">
        <f aca="true" t="shared" si="3" ref="H19:H30">(G19*2.237)</f>
        <v>51.268885829999995</v>
      </c>
      <c r="I19" s="370">
        <v>0</v>
      </c>
      <c r="J19" s="392">
        <v>1.6129032258064515</v>
      </c>
      <c r="K19" s="392">
        <v>7.894736842105263</v>
      </c>
      <c r="L19" s="370">
        <v>0.5</v>
      </c>
      <c r="M19" s="393">
        <v>0.3246753246753247</v>
      </c>
      <c r="N19" s="368"/>
      <c r="O19" s="140"/>
    </row>
    <row r="20" spans="1:15" ht="12.75">
      <c r="A20" s="297" t="str">
        <f>IF('Demog &amp; vision'!A19="","",'Demog &amp; vision'!A19)</f>
        <v>HH2</v>
      </c>
      <c r="B20" s="298" t="str">
        <f>IF('Demog &amp; vision'!F19="","",'Demog &amp; vision'!F19)</f>
        <v>Left</v>
      </c>
      <c r="C20" s="298" t="str">
        <f>IF('I-Ped'!C20="","",'I-Ped'!C20)</f>
        <v>HH</v>
      </c>
      <c r="D20" s="298" t="str">
        <f>IF('I-Ped'!D20="","",'I-Ped'!D20)</f>
        <v>LHH</v>
      </c>
      <c r="E20" s="391">
        <v>9.607084</v>
      </c>
      <c r="F20" s="372">
        <f t="shared" si="2"/>
        <v>21.491046908</v>
      </c>
      <c r="G20" s="391">
        <v>18.04385</v>
      </c>
      <c r="H20" s="372">
        <f t="shared" si="3"/>
        <v>40.36409245</v>
      </c>
      <c r="I20" s="370">
        <v>0</v>
      </c>
      <c r="J20" s="392">
        <v>0</v>
      </c>
      <c r="K20" s="392">
        <v>5.263157894736842</v>
      </c>
      <c r="L20" s="370">
        <v>2</v>
      </c>
      <c r="M20" s="393">
        <v>1.2987012987012987</v>
      </c>
      <c r="N20" s="368"/>
      <c r="O20" s="140"/>
    </row>
    <row r="21" spans="1:15" ht="12.75">
      <c r="A21" s="297" t="str">
        <f>IF('Demog &amp; vision'!A20="","",'Demog &amp; vision'!A20)</f>
        <v>HH3</v>
      </c>
      <c r="B21" s="298" t="str">
        <f>IF('Demog &amp; vision'!F20="","",'Demog &amp; vision'!F20)</f>
        <v>Left</v>
      </c>
      <c r="C21" s="298" t="str">
        <f>IF('I-Ped'!C21="","",'I-Ped'!C21)</f>
        <v>HH</v>
      </c>
      <c r="D21" s="298" t="str">
        <f>IF('I-Ped'!D21="","",'I-Ped'!D21)</f>
        <v>LHH</v>
      </c>
      <c r="E21" s="391">
        <v>8.5281945</v>
      </c>
      <c r="F21" s="372">
        <f t="shared" si="2"/>
        <v>19.0775710965</v>
      </c>
      <c r="G21" s="391">
        <v>20.37049</v>
      </c>
      <c r="H21" s="372">
        <f t="shared" si="3"/>
        <v>45.56878613</v>
      </c>
      <c r="I21" s="370">
        <v>0</v>
      </c>
      <c r="J21" s="392">
        <v>1.6129032258064515</v>
      </c>
      <c r="K21" s="392">
        <v>0</v>
      </c>
      <c r="L21" s="370">
        <v>1</v>
      </c>
      <c r="M21" s="393">
        <v>0.6493506493506493</v>
      </c>
      <c r="N21" s="368"/>
      <c r="O21" s="140"/>
    </row>
    <row r="22" spans="1:15" ht="12.75">
      <c r="A22" s="297" t="str">
        <f>IF('Demog &amp; vision'!A21="","",'Demog &amp; vision'!A21)</f>
        <v>HH4</v>
      </c>
      <c r="B22" s="298" t="str">
        <f>IF('Demog &amp; vision'!F21="","",'Demog &amp; vision'!F21)</f>
        <v>Left</v>
      </c>
      <c r="C22" s="298" t="str">
        <f>IF('I-Ped'!C22="","",'I-Ped'!C22)</f>
        <v>HH</v>
      </c>
      <c r="D22" s="298" t="str">
        <f>IF('I-Ped'!D22="","",'I-Ped'!D22)</f>
        <v>LHH</v>
      </c>
      <c r="E22" s="391">
        <v>10.01878</v>
      </c>
      <c r="F22" s="372">
        <f t="shared" si="2"/>
        <v>22.41201086</v>
      </c>
      <c r="G22" s="391">
        <v>19.02739</v>
      </c>
      <c r="H22" s="372">
        <f t="shared" si="3"/>
        <v>42.564271430000005</v>
      </c>
      <c r="I22" s="370">
        <v>0</v>
      </c>
      <c r="J22" s="392">
        <v>1.6129032258064515</v>
      </c>
      <c r="K22" s="392">
        <v>13.414634146341465</v>
      </c>
      <c r="L22" s="370">
        <v>0</v>
      </c>
      <c r="M22" s="393">
        <v>0</v>
      </c>
      <c r="N22" s="368"/>
      <c r="O22" s="140"/>
    </row>
    <row r="23" spans="1:15" ht="12.75">
      <c r="A23" s="297" t="str">
        <f>IF('Demog &amp; vision'!A22="","",'Demog &amp; vision'!A22)</f>
        <v>HH5</v>
      </c>
      <c r="B23" s="298" t="str">
        <f>IF('Demog &amp; vision'!F22="","",'Demog &amp; vision'!F22)</f>
        <v>Left</v>
      </c>
      <c r="C23" s="298" t="str">
        <f>IF('I-Ped'!C23="","",'I-Ped'!C23)</f>
        <v>HH</v>
      </c>
      <c r="D23" s="298" t="str">
        <f>IF('I-Ped'!D23="","",'I-Ped'!D23)</f>
        <v>LHH</v>
      </c>
      <c r="E23" s="391">
        <v>8.551051</v>
      </c>
      <c r="F23" s="372">
        <f t="shared" si="2"/>
        <v>19.128701087</v>
      </c>
      <c r="G23" s="391">
        <v>18.30912</v>
      </c>
      <c r="H23" s="372">
        <f t="shared" si="3"/>
        <v>40.95750144</v>
      </c>
      <c r="I23" s="370">
        <v>1</v>
      </c>
      <c r="J23" s="392">
        <v>0</v>
      </c>
      <c r="K23" s="392">
        <v>12.195121951219512</v>
      </c>
      <c r="L23" s="370">
        <v>1</v>
      </c>
      <c r="M23" s="393">
        <v>0.6493506493506493</v>
      </c>
      <c r="N23" s="368"/>
      <c r="O23" s="140"/>
    </row>
    <row r="24" spans="1:15" ht="12.75">
      <c r="A24" s="297" t="str">
        <f>IF('Demog &amp; vision'!A23="","",'Demog &amp; vision'!A23)</f>
        <v>HH6</v>
      </c>
      <c r="B24" s="298" t="str">
        <f>IF('Demog &amp; vision'!F23="","",'Demog &amp; vision'!F23)</f>
        <v>Left</v>
      </c>
      <c r="C24" s="298" t="str">
        <f>IF('I-Ped'!C24="","",'I-Ped'!C24)</f>
        <v>HH</v>
      </c>
      <c r="D24" s="298" t="str">
        <f>IF('I-Ped'!D24="","",'I-Ped'!D24)</f>
        <v>LHH</v>
      </c>
      <c r="E24" s="391">
        <v>12.17731</v>
      </c>
      <c r="F24" s="372">
        <f t="shared" si="2"/>
        <v>27.24064247</v>
      </c>
      <c r="G24" s="391">
        <v>20.56369</v>
      </c>
      <c r="H24" s="372">
        <f t="shared" si="3"/>
        <v>46.00097453000001</v>
      </c>
      <c r="I24" s="370">
        <v>0</v>
      </c>
      <c r="J24" s="392">
        <v>0</v>
      </c>
      <c r="K24" s="392">
        <v>0</v>
      </c>
      <c r="L24" s="370">
        <v>1.5</v>
      </c>
      <c r="M24" s="393">
        <v>0.974025974025974</v>
      </c>
      <c r="N24" s="368"/>
      <c r="O24" s="140"/>
    </row>
    <row r="25" spans="1:15" ht="12.75">
      <c r="A25" s="297" t="str">
        <f>IF('Demog &amp; vision'!A24="","",'Demog &amp; vision'!A24)</f>
        <v>HH7</v>
      </c>
      <c r="B25" s="298" t="str">
        <f>IF('Demog &amp; vision'!F24="","",'Demog &amp; vision'!F24)</f>
        <v>Right</v>
      </c>
      <c r="C25" s="298" t="str">
        <f>IF('I-Ped'!C25="","",'I-Ped'!C25)</f>
        <v>HH</v>
      </c>
      <c r="D25" s="298" t="str">
        <f>IF('I-Ped'!D25="","",'I-Ped'!D25)</f>
        <v>RHH</v>
      </c>
      <c r="E25" s="391">
        <v>12.260355</v>
      </c>
      <c r="F25" s="372">
        <f t="shared" si="2"/>
        <v>27.426414135</v>
      </c>
      <c r="G25" s="391">
        <v>23.25791</v>
      </c>
      <c r="H25" s="372">
        <f t="shared" si="3"/>
        <v>52.02794467</v>
      </c>
      <c r="I25" s="370">
        <v>0</v>
      </c>
      <c r="J25" s="392">
        <v>3.225806451612903</v>
      </c>
      <c r="K25" s="392">
        <v>6.578947368421052</v>
      </c>
      <c r="L25" s="370">
        <v>1.5</v>
      </c>
      <c r="M25" s="393">
        <v>0.974025974025974</v>
      </c>
      <c r="N25" s="368"/>
      <c r="O25" s="140"/>
    </row>
    <row r="26" spans="1:15" ht="12.75">
      <c r="A26" s="297" t="str">
        <f>IF('Demog &amp; vision'!A25="","",'Demog &amp; vision'!A25)</f>
        <v>HH8</v>
      </c>
      <c r="B26" s="298" t="str">
        <f>IF('Demog &amp; vision'!F25="","",'Demog &amp; vision'!F25)</f>
        <v>Right</v>
      </c>
      <c r="C26" s="298" t="str">
        <f>IF('I-Ped'!C26="","",'I-Ped'!C26)</f>
        <v>HH</v>
      </c>
      <c r="D26" s="298" t="str">
        <f>IF('I-Ped'!D26="","",'I-Ped'!D26)</f>
        <v>RHH</v>
      </c>
      <c r="E26" s="391">
        <v>8.9050665</v>
      </c>
      <c r="F26" s="372">
        <f t="shared" si="2"/>
        <v>19.920633760500003</v>
      </c>
      <c r="G26" s="391">
        <v>23.48925</v>
      </c>
      <c r="H26" s="372">
        <f t="shared" si="3"/>
        <v>52.54545225</v>
      </c>
      <c r="I26" s="370">
        <v>0</v>
      </c>
      <c r="J26" s="392">
        <v>0</v>
      </c>
      <c r="K26" s="392">
        <v>2.631578947368421</v>
      </c>
      <c r="L26" s="370">
        <v>7</v>
      </c>
      <c r="M26" s="393">
        <v>4.545454545454546</v>
      </c>
      <c r="N26" s="368"/>
      <c r="O26" s="140"/>
    </row>
    <row r="27" spans="1:15" ht="12.75">
      <c r="A27" s="297" t="str">
        <f>IF('Demog &amp; vision'!A26="","",'Demog &amp; vision'!A26)</f>
        <v>HH9</v>
      </c>
      <c r="B27" s="298" t="str">
        <f>IF('Demog &amp; vision'!F26="","",'Demog &amp; vision'!F26)</f>
        <v>Right</v>
      </c>
      <c r="C27" s="298" t="str">
        <f>IF('I-Ped'!C27="","",'I-Ped'!C27)</f>
        <v>HH</v>
      </c>
      <c r="D27" s="298" t="str">
        <f>IF('I-Ped'!D27="","",'I-Ped'!D27)</f>
        <v>RHH</v>
      </c>
      <c r="E27" s="391">
        <v>10.44528</v>
      </c>
      <c r="F27" s="372">
        <f t="shared" si="2"/>
        <v>23.366091360000002</v>
      </c>
      <c r="G27" s="391">
        <v>19.22198</v>
      </c>
      <c r="H27" s="372">
        <f t="shared" si="3"/>
        <v>42.99956926</v>
      </c>
      <c r="I27" s="370">
        <v>3</v>
      </c>
      <c r="J27" s="392">
        <v>3.225806451612903</v>
      </c>
      <c r="K27" s="392">
        <v>2.631578947368421</v>
      </c>
      <c r="L27" s="370">
        <v>6</v>
      </c>
      <c r="M27" s="393">
        <v>3.896103896103896</v>
      </c>
      <c r="N27" s="368"/>
      <c r="O27" s="140"/>
    </row>
    <row r="28" spans="1:15" ht="12.75">
      <c r="A28" s="297" t="str">
        <f>IF('Demog &amp; vision'!A27="","",'Demog &amp; vision'!A27)</f>
        <v>HH10</v>
      </c>
      <c r="B28" s="298" t="str">
        <f>IF('Demog &amp; vision'!F27="","",'Demog &amp; vision'!F27)</f>
        <v>Right</v>
      </c>
      <c r="C28" s="298" t="str">
        <f>IF('I-Ped'!C28="","",'I-Ped'!C28)</f>
        <v>HH</v>
      </c>
      <c r="D28" s="298" t="str">
        <f>IF('I-Ped'!D28="","",'I-Ped'!D28)</f>
        <v>RHH</v>
      </c>
      <c r="E28" s="391">
        <v>10.8205</v>
      </c>
      <c r="F28" s="372">
        <f t="shared" si="2"/>
        <v>24.2054585</v>
      </c>
      <c r="G28" s="391">
        <v>18.13275</v>
      </c>
      <c r="H28" s="372">
        <f t="shared" si="3"/>
        <v>40.56296175000001</v>
      </c>
      <c r="I28" s="370">
        <v>0</v>
      </c>
      <c r="J28" s="392">
        <v>0</v>
      </c>
      <c r="K28" s="392">
        <v>6.097560975609756</v>
      </c>
      <c r="L28" s="370">
        <v>1</v>
      </c>
      <c r="M28" s="393">
        <v>0.6493506493506493</v>
      </c>
      <c r="N28" s="368"/>
      <c r="O28" s="140"/>
    </row>
    <row r="29" spans="1:15" ht="12.75">
      <c r="A29" s="297" t="str">
        <f>IF('Demog &amp; vision'!A28="","",'Demog &amp; vision'!A28)</f>
        <v>HH11</v>
      </c>
      <c r="B29" s="298" t="str">
        <f>IF('Demog &amp; vision'!F28="","",'Demog &amp; vision'!F28)</f>
        <v>Right</v>
      </c>
      <c r="C29" s="298" t="str">
        <f>IF('I-Ped'!C29="","",'I-Ped'!C29)</f>
        <v>HH</v>
      </c>
      <c r="D29" s="298" t="str">
        <f>IF('I-Ped'!D29="","",'I-Ped'!D29)</f>
        <v>RHH</v>
      </c>
      <c r="E29" s="391">
        <v>8.696162</v>
      </c>
      <c r="F29" s="372">
        <f t="shared" si="2"/>
        <v>19.453314394</v>
      </c>
      <c r="G29" s="391">
        <v>18.21994</v>
      </c>
      <c r="H29" s="372">
        <f t="shared" si="3"/>
        <v>40.758005780000005</v>
      </c>
      <c r="I29" s="370">
        <v>0</v>
      </c>
      <c r="J29" s="392">
        <v>1.6129032258064515</v>
      </c>
      <c r="K29" s="392">
        <v>8.536585365853659</v>
      </c>
      <c r="L29" s="370">
        <v>0</v>
      </c>
      <c r="M29" s="393">
        <v>0</v>
      </c>
      <c r="N29" s="368"/>
      <c r="O29" s="140"/>
    </row>
    <row r="30" spans="1:15" ht="13.5" thickBot="1">
      <c r="A30" s="365" t="str">
        <f>IF('Demog &amp; vision'!A29="","",'Demog &amp; vision'!A29)</f>
        <v>HH12</v>
      </c>
      <c r="B30" s="394" t="str">
        <f>IF('Demog &amp; vision'!F29="","",'Demog &amp; vision'!F29)</f>
        <v>Right</v>
      </c>
      <c r="C30" s="394" t="str">
        <f>IF('I-Ped'!C30="","",'I-Ped'!C30)</f>
        <v>HH</v>
      </c>
      <c r="D30" s="394" t="str">
        <f>IF('I-Ped'!D30="","",'I-Ped'!D30)</f>
        <v>RHH</v>
      </c>
      <c r="E30" s="395">
        <v>11.939995</v>
      </c>
      <c r="F30" s="396">
        <f t="shared" si="2"/>
        <v>26.709768815</v>
      </c>
      <c r="G30" s="397">
        <v>20.99062</v>
      </c>
      <c r="H30" s="396">
        <f t="shared" si="3"/>
        <v>46.956016940000005</v>
      </c>
      <c r="I30" s="374">
        <v>0</v>
      </c>
      <c r="J30" s="398">
        <v>3.225806451612903</v>
      </c>
      <c r="K30" s="398">
        <v>9.75609756097561</v>
      </c>
      <c r="L30" s="374">
        <v>4</v>
      </c>
      <c r="M30" s="399">
        <v>2.5974025974025974</v>
      </c>
      <c r="N30" s="368"/>
      <c r="O30" s="140"/>
    </row>
    <row r="31" spans="1:13" ht="12.75">
      <c r="A31" s="229"/>
      <c r="B31" s="229"/>
      <c r="C31" s="229"/>
      <c r="D31" s="229"/>
      <c r="E31" s="388" t="s">
        <v>112</v>
      </c>
      <c r="F31" s="317"/>
      <c r="G31" s="317"/>
      <c r="H31" s="317"/>
      <c r="I31" s="317"/>
      <c r="J31" s="317"/>
      <c r="K31" s="317"/>
      <c r="L31" s="317"/>
      <c r="M31" s="317"/>
    </row>
    <row r="32" ht="13.5" thickBot="1"/>
    <row r="33" spans="4:16" ht="12.75">
      <c r="D33" s="230"/>
      <c r="E33" s="369"/>
      <c r="F33" s="377" t="s">
        <v>25</v>
      </c>
      <c r="G33" s="378" t="s">
        <v>19</v>
      </c>
      <c r="H33" s="386"/>
      <c r="I33" s="369"/>
      <c r="J33" s="377" t="s">
        <v>25</v>
      </c>
      <c r="K33" s="378" t="s">
        <v>19</v>
      </c>
      <c r="L33" s="368"/>
      <c r="O33" s="460"/>
      <c r="P33" s="461"/>
    </row>
    <row r="34" spans="4:16" ht="18" customHeight="1">
      <c r="D34" s="230"/>
      <c r="E34" s="808" t="s">
        <v>278</v>
      </c>
      <c r="F34" s="809"/>
      <c r="G34" s="810"/>
      <c r="H34" s="385"/>
      <c r="I34" s="814" t="s">
        <v>214</v>
      </c>
      <c r="J34" s="815"/>
      <c r="K34" s="816"/>
      <c r="L34" s="368"/>
      <c r="O34" s="460"/>
      <c r="P34" s="313"/>
    </row>
    <row r="35" spans="4:16" ht="12.75">
      <c r="D35" s="230"/>
      <c r="E35" s="379" t="s">
        <v>153</v>
      </c>
      <c r="F35" s="371">
        <f>AVERAGE(F19:F30)</f>
        <v>23.029784135499998</v>
      </c>
      <c r="G35" s="387">
        <f>AVERAGE(F6:F17)</f>
        <v>25.788916806208334</v>
      </c>
      <c r="H35" s="385"/>
      <c r="I35" s="379" t="s">
        <v>153</v>
      </c>
      <c r="J35" s="372">
        <f>AVERAGE(J19:J30)</f>
        <v>1.3440860215053763</v>
      </c>
      <c r="K35" s="373">
        <f>AVERAGE(J6:J17)</f>
        <v>0.26881720430107525</v>
      </c>
      <c r="L35" s="368"/>
      <c r="O35" s="16"/>
      <c r="P35" s="313"/>
    </row>
    <row r="36" spans="4:16" ht="12.75">
      <c r="D36" s="230"/>
      <c r="E36" s="380" t="s">
        <v>144</v>
      </c>
      <c r="F36" s="371">
        <f>STDEV(F19:F30)</f>
        <v>3.25481018153557</v>
      </c>
      <c r="G36" s="387">
        <f>STDEV(F6:F17)</f>
        <v>3.085312782874528</v>
      </c>
      <c r="H36" s="385"/>
      <c r="I36" s="380" t="s">
        <v>144</v>
      </c>
      <c r="J36" s="372">
        <f>STDEV(J19:J30)</f>
        <v>1.3465275966721317</v>
      </c>
      <c r="K36" s="373">
        <f>STDEV(J6:J17)</f>
        <v>0.9312101115961705</v>
      </c>
      <c r="L36" s="368"/>
      <c r="O36" s="16"/>
      <c r="P36" s="313"/>
    </row>
    <row r="37" spans="4:16" ht="12.75">
      <c r="D37" s="230"/>
      <c r="E37" s="381" t="s">
        <v>210</v>
      </c>
      <c r="F37" s="371">
        <f>MEDIAN(F19:F30)</f>
        <v>22.88905111</v>
      </c>
      <c r="G37" s="387">
        <f>MEDIAN(F6:F17)</f>
        <v>25.3398691625</v>
      </c>
      <c r="H37" s="385"/>
      <c r="I37" s="381" t="s">
        <v>210</v>
      </c>
      <c r="J37" s="372">
        <f>MEDIAN(J19:J30)</f>
        <v>1.6129032258064515</v>
      </c>
      <c r="K37" s="373">
        <f>MEDIAN(J6:J17)</f>
        <v>0</v>
      </c>
      <c r="L37" s="368"/>
      <c r="O37" s="16"/>
      <c r="P37" s="313"/>
    </row>
    <row r="38" spans="4:12" ht="21.75" customHeight="1">
      <c r="D38" s="230"/>
      <c r="E38" s="808" t="s">
        <v>279</v>
      </c>
      <c r="F38" s="809"/>
      <c r="G38" s="810"/>
      <c r="H38" s="385"/>
      <c r="I38" s="805" t="s">
        <v>215</v>
      </c>
      <c r="J38" s="806"/>
      <c r="K38" s="807"/>
      <c r="L38" s="368"/>
    </row>
    <row r="39" spans="4:12" ht="12.75">
      <c r="D39" s="230"/>
      <c r="E39" s="379" t="s">
        <v>153</v>
      </c>
      <c r="F39" s="371">
        <f>AVERAGE(H19:H30)</f>
        <v>45.214538538333336</v>
      </c>
      <c r="G39" s="387">
        <f>AVERAGE(H6:H17)</f>
        <v>51.3962550175</v>
      </c>
      <c r="H39" s="385"/>
      <c r="I39" s="379" t="s">
        <v>153</v>
      </c>
      <c r="J39" s="372">
        <f>AVERAGE(K19:K30)</f>
        <v>6.249999999999999</v>
      </c>
      <c r="K39" s="373">
        <f>AVERAGE(K6:K17)</f>
        <v>5.038510911424902</v>
      </c>
      <c r="L39" s="368"/>
    </row>
    <row r="40" spans="4:12" ht="12.75">
      <c r="D40" s="230"/>
      <c r="E40" s="380" t="s">
        <v>144</v>
      </c>
      <c r="F40" s="371">
        <f>STDEV(H19:H30)</f>
        <v>4.628701836912894</v>
      </c>
      <c r="G40" s="387">
        <f>STDEV(H6:H17)</f>
        <v>3.683480864358545</v>
      </c>
      <c r="H40" s="385"/>
      <c r="I40" s="380" t="s">
        <v>144</v>
      </c>
      <c r="J40" s="372">
        <f>STDEV(K19:K30)</f>
        <v>4.393373653834842</v>
      </c>
      <c r="K40" s="373">
        <f>STDEV(K6:K17)</f>
        <v>4.164737765861883</v>
      </c>
      <c r="L40" s="368"/>
    </row>
    <row r="41" spans="4:12" ht="12.75">
      <c r="D41" s="230"/>
      <c r="E41" s="381" t="s">
        <v>210</v>
      </c>
      <c r="F41" s="371">
        <f>MEDIAN(H19:H30)</f>
        <v>44.284177695</v>
      </c>
      <c r="G41" s="387">
        <f>MEDIAN(H6:H17)</f>
        <v>50.940975185</v>
      </c>
      <c r="H41" s="385"/>
      <c r="I41" s="381" t="s">
        <v>210</v>
      </c>
      <c r="J41" s="372">
        <f>MEDIAN(K19:K30)</f>
        <v>6.338254172015404</v>
      </c>
      <c r="K41" s="373">
        <f>MEDIAN(K6:K17)</f>
        <v>4.878048780487805</v>
      </c>
      <c r="L41" s="368"/>
    </row>
    <row r="42" spans="4:12" ht="12.75">
      <c r="D42" s="230"/>
      <c r="E42" s="811" t="s">
        <v>212</v>
      </c>
      <c r="F42" s="812"/>
      <c r="G42" s="813"/>
      <c r="H42" s="385"/>
      <c r="I42" s="808" t="s">
        <v>211</v>
      </c>
      <c r="J42" s="809"/>
      <c r="K42" s="810"/>
      <c r="L42" s="368"/>
    </row>
    <row r="43" spans="4:12" ht="13.5" thickBot="1">
      <c r="D43" s="230"/>
      <c r="E43" s="382" t="s">
        <v>213</v>
      </c>
      <c r="F43" s="374">
        <f>SUM(I19:I30)</f>
        <v>4</v>
      </c>
      <c r="G43" s="383">
        <f>SUM(I6:I17)</f>
        <v>2</v>
      </c>
      <c r="H43" s="384"/>
      <c r="I43" s="382" t="s">
        <v>213</v>
      </c>
      <c r="J43" s="375">
        <f>SUM(L19:L30)</f>
        <v>25.5</v>
      </c>
      <c r="K43" s="376">
        <f>SUM(L6:L17)</f>
        <v>23.5</v>
      </c>
      <c r="L43" s="368"/>
    </row>
    <row r="44" spans="6:11" ht="12.75">
      <c r="F44" s="317"/>
      <c r="G44" s="317"/>
      <c r="H44" s="317"/>
      <c r="I44" s="317"/>
      <c r="J44" s="317"/>
      <c r="K44" s="317"/>
    </row>
  </sheetData>
  <mergeCells count="18">
    <mergeCell ref="A1:A2"/>
    <mergeCell ref="B1:D1"/>
    <mergeCell ref="B2:B3"/>
    <mergeCell ref="C2:D2"/>
    <mergeCell ref="E18:M18"/>
    <mergeCell ref="I34:K34"/>
    <mergeCell ref="E34:G34"/>
    <mergeCell ref="J1:K1"/>
    <mergeCell ref="L1:M2"/>
    <mergeCell ref="E5:M5"/>
    <mergeCell ref="G2:H2"/>
    <mergeCell ref="E1:H1"/>
    <mergeCell ref="E2:F2"/>
    <mergeCell ref="I1:I2"/>
    <mergeCell ref="I38:K38"/>
    <mergeCell ref="E38:G38"/>
    <mergeCell ref="I42:K42"/>
    <mergeCell ref="E42:G4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="75" zoomScaleNormal="75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Q53" sqref="Q53"/>
    </sheetView>
  </sheetViews>
  <sheetFormatPr defaultColWidth="9.140625" defaultRowHeight="12.75"/>
  <cols>
    <col min="1" max="1" width="14.7109375" style="8" customWidth="1"/>
    <col min="2" max="2" width="12.421875" style="8" customWidth="1"/>
    <col min="3" max="3" width="9.140625" style="8" customWidth="1"/>
    <col min="4" max="4" width="9.57421875" style="8" customWidth="1"/>
    <col min="5" max="5" width="10.140625" style="8" customWidth="1"/>
    <col min="6" max="6" width="11.00390625" style="8" customWidth="1"/>
    <col min="7" max="7" width="9.140625" style="8" customWidth="1"/>
    <col min="8" max="8" width="11.57421875" style="8" customWidth="1"/>
    <col min="9" max="9" width="10.7109375" style="8" customWidth="1"/>
    <col min="10" max="10" width="3.421875" style="8" customWidth="1"/>
    <col min="11" max="16384" width="9.140625" style="8" customWidth="1"/>
  </cols>
  <sheetData>
    <row r="1" spans="1:27" s="16" customFormat="1" ht="49.5" customHeight="1">
      <c r="A1" s="685" t="str">
        <f>IF('Demog &amp; vision'!A1="","",'Demog &amp; vision'!A1)</f>
        <v>Simulator-driving with hemianopia:
1. Detection performance</v>
      </c>
      <c r="B1" s="775" t="s">
        <v>233</v>
      </c>
      <c r="C1" s="797"/>
      <c r="D1" s="797"/>
      <c r="E1" s="840" t="s">
        <v>45</v>
      </c>
      <c r="F1" s="840"/>
      <c r="G1" s="840"/>
      <c r="H1" s="840"/>
      <c r="I1" s="841"/>
      <c r="J1" s="513"/>
      <c r="K1" s="832" t="s">
        <v>44</v>
      </c>
      <c r="L1" s="778"/>
      <c r="M1" s="778"/>
      <c r="N1" s="778"/>
      <c r="O1" s="778"/>
      <c r="P1" s="778"/>
      <c r="Q1" s="778"/>
      <c r="R1" s="778"/>
      <c r="S1" s="842" t="s">
        <v>231</v>
      </c>
      <c r="T1" s="843"/>
      <c r="U1" s="843"/>
      <c r="V1" s="843"/>
      <c r="W1" s="843"/>
      <c r="X1" s="843"/>
      <c r="Y1" s="843"/>
      <c r="Z1" s="844"/>
      <c r="AA1" s="228"/>
    </row>
    <row r="2" spans="1:27" s="16" customFormat="1" ht="35.25" customHeight="1">
      <c r="A2" s="733"/>
      <c r="B2" s="734" t="s">
        <v>31</v>
      </c>
      <c r="C2" s="721" t="s">
        <v>172</v>
      </c>
      <c r="D2" s="796"/>
      <c r="E2" s="773" t="s">
        <v>44</v>
      </c>
      <c r="F2" s="773"/>
      <c r="G2" s="145"/>
      <c r="H2" s="145" t="s">
        <v>209</v>
      </c>
      <c r="I2" s="362"/>
      <c r="J2" s="230"/>
      <c r="K2" s="833" t="s">
        <v>234</v>
      </c>
      <c r="L2" s="738"/>
      <c r="M2" s="738" t="s">
        <v>40</v>
      </c>
      <c r="N2" s="738"/>
      <c r="O2" s="738" t="s">
        <v>235</v>
      </c>
      <c r="P2" s="738"/>
      <c r="Q2" s="738" t="s">
        <v>42</v>
      </c>
      <c r="R2" s="738"/>
      <c r="S2" s="688" t="s">
        <v>234</v>
      </c>
      <c r="T2" s="688"/>
      <c r="U2" s="688" t="s">
        <v>40</v>
      </c>
      <c r="V2" s="688"/>
      <c r="W2" s="688" t="s">
        <v>235</v>
      </c>
      <c r="X2" s="688"/>
      <c r="Y2" s="688" t="s">
        <v>42</v>
      </c>
      <c r="Z2" s="774"/>
      <c r="AA2" s="228"/>
    </row>
    <row r="3" spans="1:27" s="16" customFormat="1" ht="38.25">
      <c r="A3" s="275" t="str">
        <f>IF('Demog &amp; vision'!A3="","",'Demog &amp; vision'!A3)</f>
        <v>Subject ID</v>
      </c>
      <c r="B3" s="734"/>
      <c r="C3" s="14" t="s">
        <v>173</v>
      </c>
      <c r="D3" s="283" t="s">
        <v>174</v>
      </c>
      <c r="E3" s="270" t="s">
        <v>46</v>
      </c>
      <c r="F3" s="270" t="s">
        <v>47</v>
      </c>
      <c r="G3" s="270"/>
      <c r="H3" s="270" t="s">
        <v>46</v>
      </c>
      <c r="I3" s="363" t="s">
        <v>47</v>
      </c>
      <c r="J3" s="513"/>
      <c r="K3" s="514" t="s">
        <v>229</v>
      </c>
      <c r="L3" s="510" t="s">
        <v>230</v>
      </c>
      <c r="M3" s="510" t="s">
        <v>229</v>
      </c>
      <c r="N3" s="510" t="s">
        <v>230</v>
      </c>
      <c r="O3" s="510" t="s">
        <v>229</v>
      </c>
      <c r="P3" s="510" t="s">
        <v>230</v>
      </c>
      <c r="Q3" s="510" t="s">
        <v>229</v>
      </c>
      <c r="R3" s="510" t="s">
        <v>230</v>
      </c>
      <c r="S3" s="511" t="s">
        <v>229</v>
      </c>
      <c r="T3" s="511" t="s">
        <v>230</v>
      </c>
      <c r="U3" s="511" t="s">
        <v>229</v>
      </c>
      <c r="V3" s="511" t="s">
        <v>230</v>
      </c>
      <c r="W3" s="511" t="s">
        <v>229</v>
      </c>
      <c r="X3" s="511" t="s">
        <v>230</v>
      </c>
      <c r="Y3" s="511" t="s">
        <v>229</v>
      </c>
      <c r="Z3" s="515" t="s">
        <v>230</v>
      </c>
      <c r="AA3" s="228"/>
    </row>
    <row r="4" spans="1:27" ht="12.75">
      <c r="A4" s="27"/>
      <c r="B4" s="155"/>
      <c r="C4" s="155"/>
      <c r="D4" s="155"/>
      <c r="E4" s="23" t="s">
        <v>48</v>
      </c>
      <c r="F4" s="23" t="s">
        <v>49</v>
      </c>
      <c r="G4" s="23"/>
      <c r="H4" s="23" t="s">
        <v>50</v>
      </c>
      <c r="I4" s="411" t="s">
        <v>51</v>
      </c>
      <c r="J4" s="334"/>
      <c r="K4" s="516" t="s">
        <v>52</v>
      </c>
      <c r="L4" s="197" t="s">
        <v>56</v>
      </c>
      <c r="M4" s="198" t="s">
        <v>53</v>
      </c>
      <c r="N4" s="197" t="s">
        <v>57</v>
      </c>
      <c r="O4" s="197" t="s">
        <v>54</v>
      </c>
      <c r="P4" s="197" t="s">
        <v>58</v>
      </c>
      <c r="Q4" s="197" t="s">
        <v>55</v>
      </c>
      <c r="R4" s="198" t="s">
        <v>59</v>
      </c>
      <c r="S4" s="198" t="s">
        <v>60</v>
      </c>
      <c r="T4" s="198" t="s">
        <v>64</v>
      </c>
      <c r="U4" s="198" t="s">
        <v>61</v>
      </c>
      <c r="V4" s="198" t="s">
        <v>65</v>
      </c>
      <c r="W4" s="198" t="s">
        <v>62</v>
      </c>
      <c r="X4" s="198" t="s">
        <v>66</v>
      </c>
      <c r="Y4" s="198" t="s">
        <v>63</v>
      </c>
      <c r="Z4" s="307" t="s">
        <v>67</v>
      </c>
      <c r="AA4" s="21"/>
    </row>
    <row r="5" spans="1:27" ht="12.75">
      <c r="A5" s="297"/>
      <c r="B5" s="298"/>
      <c r="C5" s="298"/>
      <c r="D5" s="298"/>
      <c r="E5" s="698" t="s">
        <v>167</v>
      </c>
      <c r="F5" s="689"/>
      <c r="G5" s="689"/>
      <c r="H5" s="689"/>
      <c r="I5" s="690"/>
      <c r="J5" s="410"/>
      <c r="K5" s="845" t="s">
        <v>167</v>
      </c>
      <c r="L5" s="689"/>
      <c r="M5" s="689"/>
      <c r="N5" s="689"/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89"/>
      <c r="Z5" s="690"/>
      <c r="AA5" s="21"/>
    </row>
    <row r="6" spans="1:27" ht="12.75">
      <c r="A6" s="297" t="str">
        <f>IF('Demog &amp; vision'!A5="","",'Demog &amp; vision'!A5)</f>
        <v>NV1</v>
      </c>
      <c r="B6" s="298" t="str">
        <f>IF('Demog &amp; vision'!F5="","",'Demog &amp; vision'!F5)</f>
        <v>"Left"</v>
      </c>
      <c r="C6" s="298" t="str">
        <f>IF('I-Ped'!C6="","",'I-Ped'!C6)</f>
        <v>NV</v>
      </c>
      <c r="D6" s="298" t="str">
        <f>IF('I-Ped'!D6="","",'I-Ped'!D6)</f>
        <v>NV</v>
      </c>
      <c r="E6" s="155">
        <v>97.22</v>
      </c>
      <c r="F6" s="155">
        <v>100</v>
      </c>
      <c r="G6" s="155"/>
      <c r="H6" s="155">
        <v>0.77</v>
      </c>
      <c r="I6" s="28">
        <v>0.7</v>
      </c>
      <c r="J6" s="103"/>
      <c r="K6" s="517">
        <v>100</v>
      </c>
      <c r="L6" s="171">
        <v>100</v>
      </c>
      <c r="M6" s="623">
        <v>100</v>
      </c>
      <c r="N6" s="171">
        <v>100</v>
      </c>
      <c r="O6" s="171">
        <v>100</v>
      </c>
      <c r="P6" s="171">
        <v>100</v>
      </c>
      <c r="Q6" s="171">
        <v>88.88888888888889</v>
      </c>
      <c r="R6" s="667">
        <v>100</v>
      </c>
      <c r="S6" s="670">
        <v>0.7666619999999966</v>
      </c>
      <c r="T6" s="172">
        <v>0.666664499999996</v>
      </c>
      <c r="U6" s="172">
        <v>0.733306999999968</v>
      </c>
      <c r="V6" s="172">
        <v>0.716667000000001</v>
      </c>
      <c r="W6" s="172">
        <v>0.7166589999999928</v>
      </c>
      <c r="X6" s="172">
        <v>0.6833270000000198</v>
      </c>
      <c r="Y6" s="172">
        <v>0.9166564999999878</v>
      </c>
      <c r="Z6" s="73">
        <v>0.7333300000000094</v>
      </c>
      <c r="AA6" s="21"/>
    </row>
    <row r="7" spans="1:27" ht="12.75">
      <c r="A7" s="297" t="str">
        <f>IF('Demog &amp; vision'!A6="","",'Demog &amp; vision'!A6)</f>
        <v>NV2</v>
      </c>
      <c r="B7" s="298" t="str">
        <f>IF('Demog &amp; vision'!F6="","",'Demog &amp; vision'!F6)</f>
        <v>"Left"</v>
      </c>
      <c r="C7" s="298" t="str">
        <f>IF('I-Ped'!C7="","",'I-Ped'!C7)</f>
        <v>NV</v>
      </c>
      <c r="D7" s="298" t="str">
        <f>IF('I-Ped'!D7="","",'I-Ped'!D7)</f>
        <v>NV</v>
      </c>
      <c r="E7" s="155">
        <v>98.61</v>
      </c>
      <c r="F7" s="155">
        <v>98.61</v>
      </c>
      <c r="G7" s="155"/>
      <c r="H7" s="155">
        <v>0.7</v>
      </c>
      <c r="I7" s="28">
        <v>0.67</v>
      </c>
      <c r="J7" s="19"/>
      <c r="K7" s="518">
        <v>100</v>
      </c>
      <c r="L7" s="156">
        <v>100</v>
      </c>
      <c r="M7" s="618">
        <v>100</v>
      </c>
      <c r="N7" s="156">
        <v>100</v>
      </c>
      <c r="O7" s="156">
        <v>100</v>
      </c>
      <c r="P7" s="156">
        <v>100</v>
      </c>
      <c r="Q7" s="156">
        <v>94.44444444444444</v>
      </c>
      <c r="R7" s="668">
        <v>94.44444444444444</v>
      </c>
      <c r="S7" s="671">
        <v>0.7166514999999976</v>
      </c>
      <c r="T7" s="157">
        <v>0.6333309999999983</v>
      </c>
      <c r="U7" s="157">
        <v>0.749990499999992</v>
      </c>
      <c r="V7" s="157">
        <v>0.6666569999999936</v>
      </c>
      <c r="W7" s="157">
        <v>0.6666564999999878</v>
      </c>
      <c r="X7" s="157">
        <v>0.6833195000000103</v>
      </c>
      <c r="Y7" s="157">
        <v>0.833313000000004</v>
      </c>
      <c r="Z7" s="306">
        <v>0.7666629999999941</v>
      </c>
      <c r="AA7" s="21"/>
    </row>
    <row r="8" spans="1:27" ht="12.75">
      <c r="A8" s="297" t="str">
        <f>IF('Demog &amp; vision'!A7="","",'Demog &amp; vision'!A7)</f>
        <v>NV3</v>
      </c>
      <c r="B8" s="298" t="str">
        <f>IF('Demog &amp; vision'!F7="","",'Demog &amp; vision'!F7)</f>
        <v>"Left"</v>
      </c>
      <c r="C8" s="298" t="str">
        <f>IF('I-Ped'!C8="","",'I-Ped'!C8)</f>
        <v>NV</v>
      </c>
      <c r="D8" s="298" t="str">
        <f>IF('I-Ped'!D8="","",'I-Ped'!D8)</f>
        <v>NV</v>
      </c>
      <c r="E8" s="155">
        <v>98.59</v>
      </c>
      <c r="F8" s="155">
        <v>97.22</v>
      </c>
      <c r="G8" s="155"/>
      <c r="H8" s="155">
        <v>0.8</v>
      </c>
      <c r="I8" s="28">
        <v>0.87</v>
      </c>
      <c r="J8" s="19"/>
      <c r="K8" s="518">
        <v>100</v>
      </c>
      <c r="L8" s="156">
        <v>100</v>
      </c>
      <c r="M8" s="618">
        <v>94.44444444444444</v>
      </c>
      <c r="N8" s="156">
        <v>100</v>
      </c>
      <c r="O8" s="156">
        <v>100</v>
      </c>
      <c r="P8" s="156">
        <v>100</v>
      </c>
      <c r="Q8" s="156">
        <v>100</v>
      </c>
      <c r="R8" s="668">
        <v>88.88888888888889</v>
      </c>
      <c r="S8" s="671">
        <v>0.7666624999999954</v>
      </c>
      <c r="T8" s="157">
        <v>0.883331499999997</v>
      </c>
      <c r="U8" s="157">
        <v>0.9999880000000019</v>
      </c>
      <c r="V8" s="157">
        <v>0.8833234999999995</v>
      </c>
      <c r="W8" s="157">
        <v>0.7666619999999966</v>
      </c>
      <c r="X8" s="157">
        <v>0.8166499999999814</v>
      </c>
      <c r="Y8" s="157">
        <v>0.7166595000000058</v>
      </c>
      <c r="Z8" s="306">
        <v>0.8333284999999933</v>
      </c>
      <c r="AA8" s="21"/>
    </row>
    <row r="9" spans="1:27" ht="12.75">
      <c r="A9" s="297" t="str">
        <f>IF('Demog &amp; vision'!A8="","",'Demog &amp; vision'!A8)</f>
        <v>NV4</v>
      </c>
      <c r="B9" s="298" t="str">
        <f>IF('Demog &amp; vision'!F8="","",'Demog &amp; vision'!F8)</f>
        <v>"Left"</v>
      </c>
      <c r="C9" s="298" t="str">
        <f>IF('I-Ped'!C9="","",'I-Ped'!C9)</f>
        <v>NV</v>
      </c>
      <c r="D9" s="298" t="str">
        <f>IF('I-Ped'!D9="","",'I-Ped'!D9)</f>
        <v>NV</v>
      </c>
      <c r="E9" s="155">
        <v>98.61</v>
      </c>
      <c r="F9" s="155">
        <v>98.61</v>
      </c>
      <c r="G9" s="155"/>
      <c r="H9" s="155">
        <v>1.2</v>
      </c>
      <c r="I9" s="28">
        <v>1.07</v>
      </c>
      <c r="J9" s="19"/>
      <c r="K9" s="518">
        <v>100</v>
      </c>
      <c r="L9" s="156">
        <v>100</v>
      </c>
      <c r="M9" s="618">
        <v>100</v>
      </c>
      <c r="N9" s="156">
        <v>100</v>
      </c>
      <c r="O9" s="156">
        <v>94.44444444444444</v>
      </c>
      <c r="P9" s="156">
        <v>100</v>
      </c>
      <c r="Q9" s="156">
        <v>100</v>
      </c>
      <c r="R9" s="668">
        <v>94.44444444444444</v>
      </c>
      <c r="S9" s="671">
        <v>1.0500030000000038</v>
      </c>
      <c r="T9" s="157">
        <v>0.9833290000000119</v>
      </c>
      <c r="U9" s="157">
        <v>1.266658999999997</v>
      </c>
      <c r="V9" s="157">
        <v>1.0666730000000086</v>
      </c>
      <c r="W9" s="157">
        <v>1.0999910000000028</v>
      </c>
      <c r="X9" s="157">
        <v>1.083328999999992</v>
      </c>
      <c r="Y9" s="157">
        <v>1.1999970000000104</v>
      </c>
      <c r="Z9" s="306">
        <v>1.0333250000000476</v>
      </c>
      <c r="AA9" s="21"/>
    </row>
    <row r="10" spans="1:27" ht="12.75">
      <c r="A10" s="297" t="str">
        <f>IF('Demog &amp; vision'!A9="","",'Demog &amp; vision'!A9)</f>
        <v>NV5</v>
      </c>
      <c r="B10" s="298" t="str">
        <f>IF('Demog &amp; vision'!F9="","",'Demog &amp; vision'!F9)</f>
        <v>"Left"</v>
      </c>
      <c r="C10" s="298" t="str">
        <f>IF('I-Ped'!C10="","",'I-Ped'!C10)</f>
        <v>NV</v>
      </c>
      <c r="D10" s="298" t="str">
        <f>IF('I-Ped'!D10="","",'I-Ped'!D10)</f>
        <v>NV</v>
      </c>
      <c r="E10" s="155">
        <v>98.61</v>
      </c>
      <c r="F10" s="155">
        <v>98.61</v>
      </c>
      <c r="G10" s="155"/>
      <c r="H10" s="155">
        <v>1</v>
      </c>
      <c r="I10" s="28">
        <v>0.87</v>
      </c>
      <c r="J10" s="19"/>
      <c r="K10" s="518">
        <v>100</v>
      </c>
      <c r="L10" s="156">
        <v>100</v>
      </c>
      <c r="M10" s="618">
        <v>100</v>
      </c>
      <c r="N10" s="156">
        <v>100</v>
      </c>
      <c r="O10" s="156">
        <v>100</v>
      </c>
      <c r="P10" s="156">
        <v>100</v>
      </c>
      <c r="Q10" s="156">
        <v>94.44444444444444</v>
      </c>
      <c r="R10" s="668">
        <v>94.44444444444444</v>
      </c>
      <c r="S10" s="671">
        <v>0.883269999999925</v>
      </c>
      <c r="T10" s="157">
        <v>0.8333279999999945</v>
      </c>
      <c r="U10" s="157">
        <v>1.0666539999999927</v>
      </c>
      <c r="V10" s="157">
        <v>0.8999939999999924</v>
      </c>
      <c r="W10" s="157">
        <v>0.9166569999999865</v>
      </c>
      <c r="X10" s="157">
        <v>0.8333129999999755</v>
      </c>
      <c r="Y10" s="157">
        <v>1.0333250000000476</v>
      </c>
      <c r="Z10" s="306">
        <v>0.9666449999999713</v>
      </c>
      <c r="AA10" s="21"/>
    </row>
    <row r="11" spans="1:27" ht="12.75">
      <c r="A11" s="297" t="str">
        <f>IF('Demog &amp; vision'!A10="","",'Demog &amp; vision'!A10)</f>
        <v>NV6</v>
      </c>
      <c r="B11" s="298" t="str">
        <f>IF('Demog &amp; vision'!F10="","",'Demog &amp; vision'!F10)</f>
        <v>"Left"</v>
      </c>
      <c r="C11" s="298" t="str">
        <f>IF('I-Ped'!C11="","",'I-Ped'!C11)</f>
        <v>NV</v>
      </c>
      <c r="D11" s="298" t="str">
        <f>IF('I-Ped'!D11="","",'I-Ped'!D11)</f>
        <v>NV</v>
      </c>
      <c r="E11" s="155">
        <v>94.44</v>
      </c>
      <c r="F11" s="155">
        <v>98.61</v>
      </c>
      <c r="G11" s="155"/>
      <c r="H11" s="155">
        <v>1.12</v>
      </c>
      <c r="I11" s="28">
        <v>1.1</v>
      </c>
      <c r="J11" s="19"/>
      <c r="K11" s="518">
        <v>94.44444444444444</v>
      </c>
      <c r="L11" s="156">
        <v>100</v>
      </c>
      <c r="M11" s="618">
        <v>100</v>
      </c>
      <c r="N11" s="156">
        <v>94.44444444444444</v>
      </c>
      <c r="O11" s="156">
        <v>100</v>
      </c>
      <c r="P11" s="156">
        <v>100</v>
      </c>
      <c r="Q11" s="156">
        <v>83.33333333333333</v>
      </c>
      <c r="R11" s="668">
        <v>100</v>
      </c>
      <c r="S11" s="671">
        <v>1.166655999999989</v>
      </c>
      <c r="T11" s="157">
        <v>1.0166554999999846</v>
      </c>
      <c r="U11" s="157">
        <v>1.1999899999999997</v>
      </c>
      <c r="V11" s="157">
        <v>1.0666650000000004</v>
      </c>
      <c r="W11" s="157">
        <v>0.9999845000000107</v>
      </c>
      <c r="X11" s="157">
        <v>1.0999835000000218</v>
      </c>
      <c r="Y11" s="157">
        <v>1.0999760000000265</v>
      </c>
      <c r="Z11" s="306">
        <v>1.2166520000000105</v>
      </c>
      <c r="AA11" s="21"/>
    </row>
    <row r="12" spans="1:27" ht="12.75">
      <c r="A12" s="297" t="str">
        <f>IF('Demog &amp; vision'!A11="","",'Demog &amp; vision'!A11)</f>
        <v>NV7</v>
      </c>
      <c r="B12" s="298" t="str">
        <f>IF('Demog &amp; vision'!F11="","",'Demog &amp; vision'!F11)</f>
        <v>"Right"</v>
      </c>
      <c r="C12" s="298" t="str">
        <f>IF('I-Ped'!C12="","",'I-Ped'!C12)</f>
        <v>NV</v>
      </c>
      <c r="D12" s="298" t="str">
        <f>IF('I-Ped'!D12="","",'I-Ped'!D12)</f>
        <v>NV</v>
      </c>
      <c r="E12" s="155">
        <v>100</v>
      </c>
      <c r="F12" s="155">
        <v>100</v>
      </c>
      <c r="G12" s="155"/>
      <c r="H12" s="155">
        <v>0.88</v>
      </c>
      <c r="I12" s="28">
        <v>0.63</v>
      </c>
      <c r="J12" s="19"/>
      <c r="K12" s="518">
        <v>100</v>
      </c>
      <c r="L12" s="156">
        <v>100</v>
      </c>
      <c r="M12" s="618">
        <v>100</v>
      </c>
      <c r="N12" s="156">
        <v>100</v>
      </c>
      <c r="O12" s="156">
        <v>100</v>
      </c>
      <c r="P12" s="156">
        <v>100</v>
      </c>
      <c r="Q12" s="156">
        <v>100</v>
      </c>
      <c r="R12" s="668">
        <v>100</v>
      </c>
      <c r="S12" s="671">
        <v>0.7666624999999954</v>
      </c>
      <c r="T12" s="157">
        <v>0.599991000000017</v>
      </c>
      <c r="U12" s="157">
        <v>0.9666594999999916</v>
      </c>
      <c r="V12" s="157">
        <v>0.7333254999999994</v>
      </c>
      <c r="W12" s="157">
        <v>0.883331499999997</v>
      </c>
      <c r="X12" s="157">
        <v>0.6333309999999983</v>
      </c>
      <c r="Y12" s="157">
        <v>0.9833225000000141</v>
      </c>
      <c r="Z12" s="306">
        <v>0.5833284999999933</v>
      </c>
      <c r="AA12" s="21"/>
    </row>
    <row r="13" spans="1:27" ht="12.75">
      <c r="A13" s="297" t="str">
        <f>IF('Demog &amp; vision'!A12="","",'Demog &amp; vision'!A12)</f>
        <v>NV8</v>
      </c>
      <c r="B13" s="298" t="str">
        <f>IF('Demog &amp; vision'!F12="","",'Demog &amp; vision'!F12)</f>
        <v>"Right"</v>
      </c>
      <c r="C13" s="298" t="str">
        <f>IF('I-Ped'!C13="","",'I-Ped'!C13)</f>
        <v>NV</v>
      </c>
      <c r="D13" s="298" t="str">
        <f>IF('I-Ped'!D13="","",'I-Ped'!D13)</f>
        <v>NV</v>
      </c>
      <c r="E13" s="155">
        <v>93.06</v>
      </c>
      <c r="F13" s="155">
        <v>100</v>
      </c>
      <c r="G13" s="155"/>
      <c r="H13" s="155">
        <v>0.77</v>
      </c>
      <c r="I13" s="28">
        <v>0.7</v>
      </c>
      <c r="J13" s="19"/>
      <c r="K13" s="518">
        <v>100</v>
      </c>
      <c r="L13" s="156">
        <v>100</v>
      </c>
      <c r="M13" s="618">
        <v>77.77777777777777</v>
      </c>
      <c r="N13" s="156">
        <v>100</v>
      </c>
      <c r="O13" s="156">
        <v>100</v>
      </c>
      <c r="P13" s="156">
        <v>100</v>
      </c>
      <c r="Q13" s="156">
        <v>94.44444444444444</v>
      </c>
      <c r="R13" s="668">
        <v>100</v>
      </c>
      <c r="S13" s="671">
        <v>0.7666629999999941</v>
      </c>
      <c r="T13" s="157">
        <v>0.6333309999999983</v>
      </c>
      <c r="U13" s="157">
        <v>1.1166529999999852</v>
      </c>
      <c r="V13" s="157">
        <v>0.7333144999999774</v>
      </c>
      <c r="W13" s="157">
        <v>0.7499884999999935</v>
      </c>
      <c r="X13" s="157">
        <v>0.6666259999999511</v>
      </c>
      <c r="Y13" s="157">
        <v>0.7333380000000034</v>
      </c>
      <c r="Z13" s="306">
        <v>0.7333220000000011</v>
      </c>
      <c r="AA13" s="21"/>
    </row>
    <row r="14" spans="1:27" ht="12.75">
      <c r="A14" s="297" t="str">
        <f>IF('Demog &amp; vision'!A13="","",'Demog &amp; vision'!A13)</f>
        <v>NV9</v>
      </c>
      <c r="B14" s="298" t="str">
        <f>IF('Demog &amp; vision'!F13="","",'Demog &amp; vision'!F13)</f>
        <v>"Right"</v>
      </c>
      <c r="C14" s="298" t="str">
        <f>IF('I-Ped'!C14="","",'I-Ped'!C14)</f>
        <v>NV</v>
      </c>
      <c r="D14" s="298" t="str">
        <f>IF('I-Ped'!D14="","",'I-Ped'!D14)</f>
        <v>NV</v>
      </c>
      <c r="E14" s="155">
        <v>98.61</v>
      </c>
      <c r="F14" s="155">
        <v>98.61</v>
      </c>
      <c r="G14" s="155"/>
      <c r="H14" s="155">
        <v>0.7</v>
      </c>
      <c r="I14" s="28">
        <v>0.63</v>
      </c>
      <c r="J14" s="19"/>
      <c r="K14" s="518">
        <v>100</v>
      </c>
      <c r="L14" s="156">
        <v>100</v>
      </c>
      <c r="M14" s="618">
        <v>100</v>
      </c>
      <c r="N14" s="156">
        <v>94.44444444444444</v>
      </c>
      <c r="O14" s="156">
        <v>100</v>
      </c>
      <c r="P14" s="156">
        <v>100</v>
      </c>
      <c r="Q14" s="156">
        <v>94.44444444444444</v>
      </c>
      <c r="R14" s="668">
        <v>100</v>
      </c>
      <c r="S14" s="671">
        <v>0.716644500000001</v>
      </c>
      <c r="T14" s="157">
        <v>0.6666565000000162</v>
      </c>
      <c r="U14" s="157">
        <v>0.716667000000001</v>
      </c>
      <c r="V14" s="157">
        <v>0.6666569999999865</v>
      </c>
      <c r="W14" s="157">
        <v>0.7166599999999974</v>
      </c>
      <c r="X14" s="157">
        <v>0.5999909999999744</v>
      </c>
      <c r="Y14" s="157">
        <v>0.7000120000000152</v>
      </c>
      <c r="Z14" s="306">
        <v>0.6333275</v>
      </c>
      <c r="AA14" s="21"/>
    </row>
    <row r="15" spans="1:27" ht="12.75">
      <c r="A15" s="297" t="str">
        <f>IF('Demog &amp; vision'!A14="","",'Demog &amp; vision'!A14)</f>
        <v>NV10</v>
      </c>
      <c r="B15" s="298" t="str">
        <f>IF('Demog &amp; vision'!F14="","",'Demog &amp; vision'!F14)</f>
        <v>"Right"</v>
      </c>
      <c r="C15" s="298" t="str">
        <f>IF('I-Ped'!C15="","",'I-Ped'!C15)</f>
        <v>NV</v>
      </c>
      <c r="D15" s="298" t="str">
        <f>IF('I-Ped'!D15="","",'I-Ped'!D15)</f>
        <v>NV</v>
      </c>
      <c r="E15" s="155">
        <v>98.61</v>
      </c>
      <c r="F15" s="155">
        <v>100</v>
      </c>
      <c r="G15" s="155"/>
      <c r="H15" s="155">
        <v>0.6</v>
      </c>
      <c r="I15" s="28">
        <v>0.67</v>
      </c>
      <c r="J15" s="19"/>
      <c r="K15" s="518">
        <v>100</v>
      </c>
      <c r="L15" s="156">
        <v>100</v>
      </c>
      <c r="M15" s="618">
        <v>100</v>
      </c>
      <c r="N15" s="156">
        <v>100</v>
      </c>
      <c r="O15" s="156">
        <v>100</v>
      </c>
      <c r="P15" s="156">
        <v>100</v>
      </c>
      <c r="Q15" s="156">
        <v>94.44444444444444</v>
      </c>
      <c r="R15" s="668">
        <v>100</v>
      </c>
      <c r="S15" s="671">
        <v>0.550003000000018</v>
      </c>
      <c r="T15" s="157">
        <v>0.6666564999999878</v>
      </c>
      <c r="U15" s="157">
        <v>0.6833189999999973</v>
      </c>
      <c r="V15" s="157">
        <v>0.7666624999999954</v>
      </c>
      <c r="W15" s="157">
        <v>0.5999760000000265</v>
      </c>
      <c r="X15" s="157">
        <v>0.6499934999999937</v>
      </c>
      <c r="Y15" s="157">
        <v>0.6666570000000149</v>
      </c>
      <c r="Z15" s="306">
        <v>0.6333270000000013</v>
      </c>
      <c r="AA15" s="21"/>
    </row>
    <row r="16" spans="1:27" ht="12.75">
      <c r="A16" s="297" t="str">
        <f>IF('Demog &amp; vision'!A15="","",'Demog &amp; vision'!A15)</f>
        <v>NV11</v>
      </c>
      <c r="B16" s="298" t="str">
        <f>IF('Demog &amp; vision'!F15="","",'Demog &amp; vision'!F15)</f>
        <v>"Right"</v>
      </c>
      <c r="C16" s="298" t="str">
        <f>IF('I-Ped'!C16="","",'I-Ped'!C16)</f>
        <v>NV</v>
      </c>
      <c r="D16" s="298" t="str">
        <f>IF('I-Ped'!D16="","",'I-Ped'!D16)</f>
        <v>NV</v>
      </c>
      <c r="E16" s="155">
        <v>97.22</v>
      </c>
      <c r="F16" s="155">
        <v>97.18</v>
      </c>
      <c r="G16" s="155"/>
      <c r="H16" s="155">
        <v>0.93</v>
      </c>
      <c r="I16" s="28">
        <v>0.77</v>
      </c>
      <c r="J16" s="19"/>
      <c r="K16" s="518">
        <v>100</v>
      </c>
      <c r="L16" s="156">
        <v>100</v>
      </c>
      <c r="M16" s="618">
        <v>88.88888888888889</v>
      </c>
      <c r="N16" s="156">
        <v>94.44444444444444</v>
      </c>
      <c r="O16" s="156">
        <v>100</v>
      </c>
      <c r="P16" s="156">
        <v>100</v>
      </c>
      <c r="Q16" s="156">
        <v>100</v>
      </c>
      <c r="R16" s="668">
        <v>94.44444444444444</v>
      </c>
      <c r="S16" s="671">
        <v>0.8999939999999924</v>
      </c>
      <c r="T16" s="157">
        <v>0.7000120000000152</v>
      </c>
      <c r="U16" s="157">
        <v>0.8999939999999924</v>
      </c>
      <c r="V16" s="157">
        <v>0.9666599999999903</v>
      </c>
      <c r="W16" s="157">
        <v>0.7833295000000291</v>
      </c>
      <c r="X16" s="157">
        <v>0.699988999999988</v>
      </c>
      <c r="Y16" s="157">
        <v>1.1166610000000006</v>
      </c>
      <c r="Z16" s="306">
        <v>0.8666690000000017</v>
      </c>
      <c r="AA16" s="21"/>
    </row>
    <row r="17" spans="1:27" ht="12.75">
      <c r="A17" s="297" t="str">
        <f>IF('Demog &amp; vision'!A16="","",'Demog &amp; vision'!A16)</f>
        <v>NV12</v>
      </c>
      <c r="B17" s="298" t="str">
        <f>IF('Demog &amp; vision'!F16="","",'Demog &amp; vision'!F16)</f>
        <v>"Right"</v>
      </c>
      <c r="C17" s="298" t="str">
        <f>IF('I-Ped'!C17="","",'I-Ped'!C17)</f>
        <v>NV</v>
      </c>
      <c r="D17" s="298" t="str">
        <f>IF('I-Ped'!D17="","",'I-Ped'!D17)</f>
        <v>NV</v>
      </c>
      <c r="E17" s="155">
        <v>100</v>
      </c>
      <c r="F17" s="155">
        <v>98.61</v>
      </c>
      <c r="G17" s="155"/>
      <c r="H17" s="155">
        <v>0.7</v>
      </c>
      <c r="I17" s="28">
        <v>0.67</v>
      </c>
      <c r="J17" s="334"/>
      <c r="K17" s="516">
        <v>100</v>
      </c>
      <c r="L17" s="197">
        <v>100</v>
      </c>
      <c r="M17" s="619">
        <v>100</v>
      </c>
      <c r="N17" s="197">
        <v>100</v>
      </c>
      <c r="O17" s="197">
        <v>100</v>
      </c>
      <c r="P17" s="197">
        <v>100</v>
      </c>
      <c r="Q17" s="197">
        <v>100</v>
      </c>
      <c r="R17" s="669">
        <v>94.44444444444444</v>
      </c>
      <c r="S17" s="672">
        <v>0.7000119999999868</v>
      </c>
      <c r="T17" s="198">
        <v>0.6499934999999937</v>
      </c>
      <c r="U17" s="198">
        <v>0.7666550000000143</v>
      </c>
      <c r="V17" s="198">
        <v>0.7666624999999954</v>
      </c>
      <c r="W17" s="198">
        <v>0.6166460000000171</v>
      </c>
      <c r="X17" s="198">
        <v>0.6333275</v>
      </c>
      <c r="Y17" s="198">
        <v>0.7333220000000154</v>
      </c>
      <c r="Z17" s="307">
        <v>0.6666610000000048</v>
      </c>
      <c r="AA17" s="21"/>
    </row>
    <row r="18" spans="1:27" ht="12.75">
      <c r="A18" s="297">
        <f>IF('Demog &amp; vision'!A17="","",'Demog &amp; vision'!A17)</f>
      </c>
      <c r="B18" s="298">
        <f>IF('Demog &amp; vision'!F17="","",'Demog &amp; vision'!F17)</f>
      </c>
      <c r="C18" s="298">
        <f>IF('I-Ped'!C18="","",'I-Ped'!C18)</f>
      </c>
      <c r="D18" s="298">
        <f>IF('I-Ped'!D18="","",'I-Ped'!D18)</f>
      </c>
      <c r="E18" s="698" t="s">
        <v>168</v>
      </c>
      <c r="F18" s="689"/>
      <c r="G18" s="689"/>
      <c r="H18" s="689"/>
      <c r="I18" s="690"/>
      <c r="J18" s="410"/>
      <c r="K18" s="845" t="s">
        <v>168</v>
      </c>
      <c r="L18" s="689"/>
      <c r="M18" s="689"/>
      <c r="N18" s="689"/>
      <c r="O18" s="689"/>
      <c r="P18" s="689"/>
      <c r="Q18" s="689"/>
      <c r="R18" s="689"/>
      <c r="S18" s="689"/>
      <c r="T18" s="689"/>
      <c r="U18" s="689"/>
      <c r="V18" s="689"/>
      <c r="W18" s="689"/>
      <c r="X18" s="689"/>
      <c r="Y18" s="689"/>
      <c r="Z18" s="690"/>
      <c r="AA18" s="21"/>
    </row>
    <row r="19" spans="1:27" ht="12.75">
      <c r="A19" s="297" t="str">
        <f>IF('Demog &amp; vision'!A18="","",'Demog &amp; vision'!A18)</f>
        <v>HH1</v>
      </c>
      <c r="B19" s="298" t="str">
        <f>IF('Demog &amp; vision'!F18="","",'Demog &amp; vision'!F18)</f>
        <v>Left</v>
      </c>
      <c r="C19" s="298" t="str">
        <f>IF('I-Ped'!C19="","",'I-Ped'!C19)</f>
        <v>HH</v>
      </c>
      <c r="D19" s="298" t="str">
        <f>IF('I-Ped'!D19="","",'I-Ped'!D19)</f>
        <v>LHH</v>
      </c>
      <c r="E19" s="155"/>
      <c r="F19" s="155"/>
      <c r="G19" s="155"/>
      <c r="H19" s="155"/>
      <c r="I19" s="28"/>
      <c r="J19" s="103"/>
      <c r="K19" s="517">
        <v>68.75</v>
      </c>
      <c r="L19" s="171">
        <v>70.58823529411765</v>
      </c>
      <c r="M19" s="623">
        <v>38.888888888888886</v>
      </c>
      <c r="N19" s="171">
        <v>41.1764705882353</v>
      </c>
      <c r="O19" s="171">
        <v>100</v>
      </c>
      <c r="P19" s="171">
        <v>100</v>
      </c>
      <c r="Q19" s="171">
        <v>88.23529411764706</v>
      </c>
      <c r="R19" s="667">
        <v>100</v>
      </c>
      <c r="S19" s="670">
        <v>1.499984000000012</v>
      </c>
      <c r="T19" s="172">
        <v>0.9666600000000187</v>
      </c>
      <c r="U19" s="172">
        <v>2.933302999999995</v>
      </c>
      <c r="V19" s="172">
        <v>1.999970000000019</v>
      </c>
      <c r="W19" s="172">
        <v>0.9333189999999831</v>
      </c>
      <c r="X19" s="172">
        <v>0.7000045000000057</v>
      </c>
      <c r="Y19" s="172">
        <v>1.233337000000006</v>
      </c>
      <c r="Z19" s="73">
        <v>0.8166659999999979</v>
      </c>
      <c r="AA19" s="21"/>
    </row>
    <row r="20" spans="1:27" ht="12.75">
      <c r="A20" s="297" t="str">
        <f>IF('Demog &amp; vision'!A19="","",'Demog &amp; vision'!A19)</f>
        <v>HH2</v>
      </c>
      <c r="B20" s="298" t="str">
        <f>IF('Demog &amp; vision'!F19="","",'Demog &amp; vision'!F19)</f>
        <v>Left</v>
      </c>
      <c r="C20" s="298" t="str">
        <f>IF('I-Ped'!C20="","",'I-Ped'!C20)</f>
        <v>HH</v>
      </c>
      <c r="D20" s="298" t="str">
        <f>IF('I-Ped'!D20="","",'I-Ped'!D20)</f>
        <v>LHH</v>
      </c>
      <c r="E20" s="826" t="s">
        <v>232</v>
      </c>
      <c r="F20" s="827"/>
      <c r="G20" s="827"/>
      <c r="H20" s="827"/>
      <c r="I20" s="828"/>
      <c r="J20" s="19"/>
      <c r="K20" s="518">
        <v>70.58823529411765</v>
      </c>
      <c r="L20" s="156">
        <v>52.94117647058823</v>
      </c>
      <c r="M20" s="618">
        <v>29.41176470588235</v>
      </c>
      <c r="N20" s="156">
        <v>29.41176470588235</v>
      </c>
      <c r="O20" s="156">
        <v>100</v>
      </c>
      <c r="P20" s="156">
        <v>100</v>
      </c>
      <c r="Q20" s="156">
        <v>100</v>
      </c>
      <c r="R20" s="668">
        <v>100</v>
      </c>
      <c r="S20" s="671">
        <v>1.483321999999987</v>
      </c>
      <c r="T20" s="157">
        <v>1.333320999999998</v>
      </c>
      <c r="U20" s="157">
        <v>4.066650999999979</v>
      </c>
      <c r="V20" s="157">
        <v>1.2666320000000155</v>
      </c>
      <c r="W20" s="157">
        <v>0.8666539999999969</v>
      </c>
      <c r="X20" s="157">
        <v>0.6833269999999914</v>
      </c>
      <c r="Y20" s="157">
        <v>0.8333430000000135</v>
      </c>
      <c r="Z20" s="306">
        <v>0.7833330000000132</v>
      </c>
      <c r="AA20" s="21"/>
    </row>
    <row r="21" spans="1:27" ht="12.75">
      <c r="A21" s="297" t="str">
        <f>IF('Demog &amp; vision'!A20="","",'Demog &amp; vision'!A20)</f>
        <v>HH3</v>
      </c>
      <c r="B21" s="298" t="str">
        <f>IF('Demog &amp; vision'!F20="","",'Demog &amp; vision'!F20)</f>
        <v>Left</v>
      </c>
      <c r="C21" s="298" t="str">
        <f>IF('I-Ped'!C21="","",'I-Ped'!C21)</f>
        <v>HH</v>
      </c>
      <c r="D21" s="298" t="str">
        <f>IF('I-Ped'!D21="","",'I-Ped'!D21)</f>
        <v>LHH</v>
      </c>
      <c r="E21" s="829"/>
      <c r="F21" s="830"/>
      <c r="G21" s="830"/>
      <c r="H21" s="830"/>
      <c r="I21" s="831"/>
      <c r="J21" s="19"/>
      <c r="K21" s="518">
        <v>41.1764705882353</v>
      </c>
      <c r="L21" s="156">
        <v>68.75</v>
      </c>
      <c r="M21" s="618">
        <v>5.882352941176471</v>
      </c>
      <c r="N21" s="156">
        <v>33.333333333333336</v>
      </c>
      <c r="O21" s="156">
        <v>100</v>
      </c>
      <c r="P21" s="156">
        <v>100</v>
      </c>
      <c r="Q21" s="156">
        <v>81.25</v>
      </c>
      <c r="R21" s="668">
        <v>77.77777777777777</v>
      </c>
      <c r="S21" s="671">
        <v>0.9333189999999831</v>
      </c>
      <c r="T21" s="157">
        <v>1.099991000000017</v>
      </c>
      <c r="U21" s="310"/>
      <c r="V21" s="310">
        <v>3.199967000000015</v>
      </c>
      <c r="W21" s="157">
        <v>0.8833464999999876</v>
      </c>
      <c r="X21" s="157">
        <v>0.7999875000000145</v>
      </c>
      <c r="Y21" s="157">
        <v>1.0666810000000169</v>
      </c>
      <c r="Z21" s="306">
        <v>0.8166504999999944</v>
      </c>
      <c r="AA21" s="21"/>
    </row>
    <row r="22" spans="1:27" ht="12.75">
      <c r="A22" s="297" t="str">
        <f>IF('Demog &amp; vision'!A21="","",'Demog &amp; vision'!A21)</f>
        <v>HH4</v>
      </c>
      <c r="B22" s="298" t="str">
        <f>IF('Demog &amp; vision'!F21="","",'Demog &amp; vision'!F21)</f>
        <v>Left</v>
      </c>
      <c r="C22" s="298" t="str">
        <f>IF('I-Ped'!C22="","",'I-Ped'!C22)</f>
        <v>HH</v>
      </c>
      <c r="D22" s="298" t="str">
        <f>IF('I-Ped'!D22="","",'I-Ped'!D22)</f>
        <v>LHH</v>
      </c>
      <c r="E22" s="155"/>
      <c r="F22" s="155"/>
      <c r="G22" s="155"/>
      <c r="H22" s="155"/>
      <c r="I22" s="28"/>
      <c r="J22" s="19"/>
      <c r="K22" s="518">
        <v>72.22222222222223</v>
      </c>
      <c r="L22" s="156">
        <v>64.70588235294117</v>
      </c>
      <c r="M22" s="618">
        <v>22.22222222222222</v>
      </c>
      <c r="N22" s="156">
        <v>6.25</v>
      </c>
      <c r="O22" s="156">
        <v>100</v>
      </c>
      <c r="P22" s="156">
        <v>100</v>
      </c>
      <c r="Q22" s="156">
        <v>72.22222222222223</v>
      </c>
      <c r="R22" s="668">
        <v>87.5</v>
      </c>
      <c r="S22" s="671">
        <v>1.7333060000000273</v>
      </c>
      <c r="T22" s="157">
        <v>1.9666749999999524</v>
      </c>
      <c r="U22" s="310">
        <v>4.716628499999985</v>
      </c>
      <c r="V22" s="310"/>
      <c r="W22" s="157">
        <v>1.566650999999979</v>
      </c>
      <c r="X22" s="157">
        <v>1.833313000000004</v>
      </c>
      <c r="Y22" s="157">
        <v>2.066650999999979</v>
      </c>
      <c r="Z22" s="306">
        <v>1.916626000000008</v>
      </c>
      <c r="AA22" s="21"/>
    </row>
    <row r="23" spans="1:27" ht="12.75">
      <c r="A23" s="297" t="str">
        <f>IF('Demog &amp; vision'!A22="","",'Demog &amp; vision'!A22)</f>
        <v>HH5</v>
      </c>
      <c r="B23" s="298" t="str">
        <f>IF('Demog &amp; vision'!F22="","",'Demog &amp; vision'!F22)</f>
        <v>Left</v>
      </c>
      <c r="C23" s="298" t="str">
        <f>IF('I-Ped'!C23="","",'I-Ped'!C23)</f>
        <v>HH</v>
      </c>
      <c r="D23" s="298" t="str">
        <f>IF('I-Ped'!D23="","",'I-Ped'!D23)</f>
        <v>LHH</v>
      </c>
      <c r="E23" s="155"/>
      <c r="F23" s="155"/>
      <c r="G23" s="155"/>
      <c r="H23" s="155"/>
      <c r="I23" s="28"/>
      <c r="J23" s="19"/>
      <c r="K23" s="518">
        <v>55.55555555555556</v>
      </c>
      <c r="L23" s="156">
        <v>64.70588235294117</v>
      </c>
      <c r="M23" s="618">
        <v>16.666666666666668</v>
      </c>
      <c r="N23" s="156">
        <v>0</v>
      </c>
      <c r="O23" s="156">
        <v>100</v>
      </c>
      <c r="P23" s="156">
        <v>100</v>
      </c>
      <c r="Q23" s="156">
        <v>70.58823529411765</v>
      </c>
      <c r="R23" s="668">
        <v>100</v>
      </c>
      <c r="S23" s="671">
        <v>2.0666655000000276</v>
      </c>
      <c r="T23" s="157">
        <v>1.5999749999999722</v>
      </c>
      <c r="U23" s="310">
        <v>2.6666409999999985</v>
      </c>
      <c r="V23" s="310"/>
      <c r="W23" s="157">
        <v>1.5333249999999907</v>
      </c>
      <c r="X23" s="157">
        <v>0.9833075000000235</v>
      </c>
      <c r="Y23" s="157">
        <v>1.7499850000000663</v>
      </c>
      <c r="Z23" s="306">
        <v>1.2999880000000132</v>
      </c>
      <c r="AA23" s="21"/>
    </row>
    <row r="24" spans="1:27" ht="12.75">
      <c r="A24" s="297" t="str">
        <f>IF('Demog &amp; vision'!A23="","",'Demog &amp; vision'!A23)</f>
        <v>HH6</v>
      </c>
      <c r="B24" s="298" t="str">
        <f>IF('Demog &amp; vision'!F23="","",'Demog &amp; vision'!F23)</f>
        <v>Left</v>
      </c>
      <c r="C24" s="298" t="str">
        <f>IF('I-Ped'!C24="","",'I-Ped'!C24)</f>
        <v>HH</v>
      </c>
      <c r="D24" s="298" t="str">
        <f>IF('I-Ped'!D24="","",'I-Ped'!D24)</f>
        <v>LHH</v>
      </c>
      <c r="E24" s="155"/>
      <c r="F24" s="155"/>
      <c r="G24" s="155"/>
      <c r="H24" s="155"/>
      <c r="I24" s="28"/>
      <c r="J24" s="19"/>
      <c r="K24" s="518">
        <v>35.294117647058826</v>
      </c>
      <c r="L24" s="156">
        <v>50</v>
      </c>
      <c r="M24" s="618">
        <v>12.5</v>
      </c>
      <c r="N24" s="156">
        <v>0</v>
      </c>
      <c r="O24" s="156">
        <v>100</v>
      </c>
      <c r="P24" s="156">
        <v>100</v>
      </c>
      <c r="Q24" s="156">
        <v>94.11764705882354</v>
      </c>
      <c r="R24" s="668">
        <v>94.11764705882354</v>
      </c>
      <c r="S24" s="671">
        <v>0.633331499999997</v>
      </c>
      <c r="T24" s="157">
        <v>1.43331900000004</v>
      </c>
      <c r="U24" s="310"/>
      <c r="V24" s="310"/>
      <c r="W24" s="157">
        <v>0.7166594999999916</v>
      </c>
      <c r="X24" s="157">
        <v>0.6833264999999926</v>
      </c>
      <c r="Y24" s="157">
        <v>1.0999909999999886</v>
      </c>
      <c r="Z24" s="306">
        <v>1.033325000000005</v>
      </c>
      <c r="AA24" s="21"/>
    </row>
    <row r="25" spans="1:27" ht="12.75">
      <c r="A25" s="297" t="str">
        <f>IF('Demog &amp; vision'!A24="","",'Demog &amp; vision'!A24)</f>
        <v>HH7</v>
      </c>
      <c r="B25" s="298" t="str">
        <f>IF('Demog &amp; vision'!F24="","",'Demog &amp; vision'!F24)</f>
        <v>Right</v>
      </c>
      <c r="C25" s="298" t="str">
        <f>IF('I-Ped'!C25="","",'I-Ped'!C25)</f>
        <v>HH</v>
      </c>
      <c r="D25" s="298" t="str">
        <f>IF('I-Ped'!D25="","",'I-Ped'!D25)</f>
        <v>RHH</v>
      </c>
      <c r="E25" s="155"/>
      <c r="F25" s="155"/>
      <c r="G25" s="155"/>
      <c r="H25" s="155"/>
      <c r="I25" s="28"/>
      <c r="J25" s="19"/>
      <c r="K25" s="518">
        <v>100</v>
      </c>
      <c r="L25" s="156">
        <v>100</v>
      </c>
      <c r="M25" s="618">
        <v>88.88888888888889</v>
      </c>
      <c r="N25" s="156">
        <v>83.33333333333333</v>
      </c>
      <c r="O25" s="156">
        <v>100</v>
      </c>
      <c r="P25" s="156">
        <v>100</v>
      </c>
      <c r="Q25" s="156">
        <v>100</v>
      </c>
      <c r="R25" s="668">
        <v>100</v>
      </c>
      <c r="S25" s="671">
        <v>0.966651500000026</v>
      </c>
      <c r="T25" s="157">
        <v>1.0333174999999954</v>
      </c>
      <c r="U25" s="157">
        <v>2.866638000000009</v>
      </c>
      <c r="V25" s="157">
        <v>1.0999760000000265</v>
      </c>
      <c r="W25" s="157">
        <v>1.1999819999999772</v>
      </c>
      <c r="X25" s="157">
        <v>1.116638000000009</v>
      </c>
      <c r="Y25" s="157">
        <v>1.2166554999999946</v>
      </c>
      <c r="Z25" s="306">
        <v>0.7666629999999941</v>
      </c>
      <c r="AA25" s="21"/>
    </row>
    <row r="26" spans="1:27" ht="12.75">
      <c r="A26" s="297" t="str">
        <f>IF('Demog &amp; vision'!A25="","",'Demog &amp; vision'!A25)</f>
        <v>HH8</v>
      </c>
      <c r="B26" s="298" t="str">
        <f>IF('Demog &amp; vision'!F25="","",'Demog &amp; vision'!F25)</f>
        <v>Right</v>
      </c>
      <c r="C26" s="298" t="str">
        <f>IF('I-Ped'!C26="","",'I-Ped'!C26)</f>
        <v>HH</v>
      </c>
      <c r="D26" s="298" t="str">
        <f>IF('I-Ped'!D26="","",'I-Ped'!D26)</f>
        <v>RHH</v>
      </c>
      <c r="E26" s="155"/>
      <c r="F26" s="155"/>
      <c r="G26" s="155"/>
      <c r="H26" s="155"/>
      <c r="I26" s="28"/>
      <c r="J26" s="19"/>
      <c r="K26" s="518">
        <v>88.88888888888889</v>
      </c>
      <c r="L26" s="156">
        <v>83.33333333333333</v>
      </c>
      <c r="M26" s="618">
        <v>44.44444444444444</v>
      </c>
      <c r="N26" s="156">
        <v>61.111111111111114</v>
      </c>
      <c r="O26" s="156">
        <v>100</v>
      </c>
      <c r="P26" s="156">
        <v>100</v>
      </c>
      <c r="Q26" s="156">
        <v>82.3529411764706</v>
      </c>
      <c r="R26" s="668">
        <v>83.33333333333333</v>
      </c>
      <c r="S26" s="671">
        <v>1.4166564999999878</v>
      </c>
      <c r="T26" s="157">
        <v>2.0999759999999696</v>
      </c>
      <c r="U26" s="157">
        <v>2.1666109999999605</v>
      </c>
      <c r="V26" s="157">
        <v>1.6333160000000078</v>
      </c>
      <c r="W26" s="157">
        <v>0.7666629999999941</v>
      </c>
      <c r="X26" s="157">
        <v>1.0333249999999907</v>
      </c>
      <c r="Y26" s="157">
        <v>1.8833159999999793</v>
      </c>
      <c r="Z26" s="306">
        <v>1.1333009999999604</v>
      </c>
      <c r="AA26" s="21"/>
    </row>
    <row r="27" spans="1:27" ht="12.75">
      <c r="A27" s="297" t="str">
        <f>IF('Demog &amp; vision'!A26="","",'Demog &amp; vision'!A26)</f>
        <v>HH9</v>
      </c>
      <c r="B27" s="298" t="str">
        <f>IF('Demog &amp; vision'!F26="","",'Demog &amp; vision'!F26)</f>
        <v>Right</v>
      </c>
      <c r="C27" s="298" t="str">
        <f>IF('I-Ped'!C27="","",'I-Ped'!C27)</f>
        <v>HH</v>
      </c>
      <c r="D27" s="298" t="str">
        <f>IF('I-Ped'!D27="","",'I-Ped'!D27)</f>
        <v>RHH</v>
      </c>
      <c r="E27" s="155"/>
      <c r="F27" s="155"/>
      <c r="G27" s="155"/>
      <c r="H27" s="155"/>
      <c r="I27" s="28"/>
      <c r="J27" s="19"/>
      <c r="K27" s="518">
        <v>27.77777777777778</v>
      </c>
      <c r="L27" s="156">
        <v>47.05882352941177</v>
      </c>
      <c r="M27" s="618">
        <v>0</v>
      </c>
      <c r="N27" s="156">
        <v>15.789473684210526</v>
      </c>
      <c r="O27" s="156">
        <v>100</v>
      </c>
      <c r="P27" s="156">
        <v>100</v>
      </c>
      <c r="Q27" s="156">
        <v>94.11764705882354</v>
      </c>
      <c r="R27" s="668">
        <v>100</v>
      </c>
      <c r="S27" s="671">
        <v>1.7666320000000155</v>
      </c>
      <c r="T27" s="157">
        <v>1.5499884999999978</v>
      </c>
      <c r="U27" s="310"/>
      <c r="V27" s="310">
        <v>5.133269999999982</v>
      </c>
      <c r="W27" s="157">
        <v>0.8833160000000078</v>
      </c>
      <c r="X27" s="157">
        <v>1.1833185000000412</v>
      </c>
      <c r="Y27" s="157">
        <v>1.0833244999999962</v>
      </c>
      <c r="Z27" s="306">
        <v>0.9666449999999713</v>
      </c>
      <c r="AA27" s="21"/>
    </row>
    <row r="28" spans="1:27" ht="13.5" thickBot="1">
      <c r="A28" s="297" t="str">
        <f>IF('Demog &amp; vision'!A27="","",'Demog &amp; vision'!A27)</f>
        <v>HH10</v>
      </c>
      <c r="B28" s="298" t="str">
        <f>IF('Demog &amp; vision'!F27="","",'Demog &amp; vision'!F27)</f>
        <v>Right</v>
      </c>
      <c r="C28" s="298" t="str">
        <f>IF('I-Ped'!C28="","",'I-Ped'!C28)</f>
        <v>HH</v>
      </c>
      <c r="D28" s="298" t="str">
        <f>IF('I-Ped'!D28="","",'I-Ped'!D28)</f>
        <v>RHH</v>
      </c>
      <c r="E28" s="22"/>
      <c r="F28" s="22"/>
      <c r="G28" s="22"/>
      <c r="H28" s="22"/>
      <c r="I28" s="364"/>
      <c r="J28" s="19"/>
      <c r="K28" s="518">
        <v>94.11764705882354</v>
      </c>
      <c r="L28" s="156">
        <v>66.66666666666667</v>
      </c>
      <c r="M28" s="618">
        <v>55.55555555555556</v>
      </c>
      <c r="N28" s="156">
        <v>23.529411764705884</v>
      </c>
      <c r="O28" s="156">
        <v>100</v>
      </c>
      <c r="P28" s="156">
        <v>100</v>
      </c>
      <c r="Q28" s="156">
        <v>94.44444444444444</v>
      </c>
      <c r="R28" s="668">
        <v>100</v>
      </c>
      <c r="S28" s="671">
        <v>1.366638500000036</v>
      </c>
      <c r="T28" s="157">
        <v>2.233306999999968</v>
      </c>
      <c r="U28" s="157">
        <v>2.183303999999964</v>
      </c>
      <c r="V28" s="157">
        <v>2.166656500000016</v>
      </c>
      <c r="W28" s="157">
        <v>0.8666690000000017</v>
      </c>
      <c r="X28" s="157">
        <v>0.7333375000000046</v>
      </c>
      <c r="Y28" s="157">
        <v>1</v>
      </c>
      <c r="Z28" s="306">
        <v>0.8999825000000001</v>
      </c>
      <c r="AA28" s="21"/>
    </row>
    <row r="29" spans="1:27" ht="13.5" thickBot="1">
      <c r="A29" s="297" t="str">
        <f>IF('Demog &amp; vision'!A28="","",'Demog &amp; vision'!A28)</f>
        <v>HH11</v>
      </c>
      <c r="B29" s="298" t="str">
        <f>IF('Demog &amp; vision'!F28="","",'Demog &amp; vision'!F28)</f>
        <v>Right</v>
      </c>
      <c r="C29" s="298" t="str">
        <f>IF('I-Ped'!C29="","",'I-Ped'!C29)</f>
        <v>HH</v>
      </c>
      <c r="D29" s="545" t="str">
        <f>IF('I-Ped'!D29="","",'I-Ped'!D29)</f>
        <v>RHH</v>
      </c>
      <c r="E29" s="823" t="s">
        <v>19</v>
      </c>
      <c r="F29" s="824"/>
      <c r="G29" s="824"/>
      <c r="H29" s="824"/>
      <c r="I29" s="825"/>
      <c r="J29" s="19"/>
      <c r="K29" s="518">
        <v>26.666666666666668</v>
      </c>
      <c r="L29" s="156">
        <v>37.5</v>
      </c>
      <c r="M29" s="618">
        <v>7.142857142857143</v>
      </c>
      <c r="N29" s="156">
        <v>5.2631578947368425</v>
      </c>
      <c r="O29" s="156">
        <v>100</v>
      </c>
      <c r="P29" s="156">
        <v>100</v>
      </c>
      <c r="Q29" s="156">
        <v>93.75</v>
      </c>
      <c r="R29" s="668">
        <v>94.73684210526316</v>
      </c>
      <c r="S29" s="671">
        <v>2.1499865000000113</v>
      </c>
      <c r="T29" s="157">
        <v>2.083313000000004</v>
      </c>
      <c r="U29" s="310"/>
      <c r="V29" s="310"/>
      <c r="W29" s="157">
        <v>1.6999820000000057</v>
      </c>
      <c r="X29" s="157">
        <v>1.5833129999999898</v>
      </c>
      <c r="Y29" s="157">
        <v>1.8999790000000019</v>
      </c>
      <c r="Z29" s="306">
        <v>1.5666510000000073</v>
      </c>
      <c r="AA29" s="21"/>
    </row>
    <row r="30" spans="1:27" ht="13.5" thickBot="1">
      <c r="A30" s="185" t="str">
        <f>IF('Demog &amp; vision'!A29="","",'Demog &amp; vision'!A29)</f>
        <v>HH12</v>
      </c>
      <c r="B30" s="358" t="str">
        <f>IF('Demog &amp; vision'!F29="","",'Demog &amp; vision'!F29)</f>
        <v>Right</v>
      </c>
      <c r="C30" s="358" t="str">
        <f>IF('I-Ped'!C30="","",'I-Ped'!C30)</f>
        <v>HH</v>
      </c>
      <c r="D30" s="464" t="str">
        <f>IF('I-Ped'!D30="","",'I-Ped'!D30)</f>
        <v>RHH</v>
      </c>
      <c r="E30" s="821" t="s">
        <v>182</v>
      </c>
      <c r="F30" s="822"/>
      <c r="G30" s="541"/>
      <c r="H30" s="521" t="s">
        <v>46</v>
      </c>
      <c r="I30" s="522" t="s">
        <v>47</v>
      </c>
      <c r="J30" s="540"/>
      <c r="K30" s="519">
        <v>88.88888888888889</v>
      </c>
      <c r="L30" s="311">
        <v>93.75</v>
      </c>
      <c r="M30" s="624">
        <v>41.1764705882353</v>
      </c>
      <c r="N30" s="311">
        <v>52.63157894736842</v>
      </c>
      <c r="O30" s="311">
        <v>93.75</v>
      </c>
      <c r="P30" s="311">
        <v>100</v>
      </c>
      <c r="Q30" s="311">
        <v>100</v>
      </c>
      <c r="R30" s="673">
        <v>100</v>
      </c>
      <c r="S30" s="674">
        <v>1.1499709999999652</v>
      </c>
      <c r="T30" s="312">
        <v>1.4333189999999973</v>
      </c>
      <c r="U30" s="312">
        <v>0.8333130000000324</v>
      </c>
      <c r="V30" s="312">
        <v>2.8666379999999805</v>
      </c>
      <c r="W30" s="312">
        <v>0.8999940000000208</v>
      </c>
      <c r="X30" s="312">
        <v>1.0666499999999814</v>
      </c>
      <c r="Y30" s="312">
        <v>1.0666504999999944</v>
      </c>
      <c r="Z30" s="520">
        <v>0.933314999999979</v>
      </c>
      <c r="AA30" s="21"/>
    </row>
    <row r="31" spans="1:27" ht="13.5" thickBot="1">
      <c r="A31" s="185"/>
      <c r="B31" s="25"/>
      <c r="C31" s="25"/>
      <c r="D31" s="25"/>
      <c r="E31" s="542" t="s">
        <v>46</v>
      </c>
      <c r="F31" s="543" t="s">
        <v>47</v>
      </c>
      <c r="G31" s="587" t="s">
        <v>153</v>
      </c>
      <c r="H31" s="512">
        <f>AVERAGE(H6:H17)</f>
        <v>0.8475</v>
      </c>
      <c r="I31" s="361">
        <f>AVERAGE(I6:I17)</f>
        <v>0.7791666666666668</v>
      </c>
      <c r="J31" s="540"/>
      <c r="K31" s="538"/>
      <c r="L31" s="292"/>
      <c r="M31" s="293"/>
      <c r="N31" s="292"/>
      <c r="O31" s="292"/>
      <c r="P31" s="292"/>
      <c r="Q31" s="292"/>
      <c r="R31" s="293"/>
      <c r="S31" s="293"/>
      <c r="T31" s="293"/>
      <c r="U31" s="293"/>
      <c r="V31" s="293"/>
      <c r="W31" s="293"/>
      <c r="X31" s="293"/>
      <c r="Y31" s="293"/>
      <c r="Z31" s="539"/>
      <c r="AA31" s="204"/>
    </row>
    <row r="32" spans="1:27" ht="13.5" thickBot="1">
      <c r="A32" s="365"/>
      <c r="B32" s="360"/>
      <c r="C32" s="360"/>
      <c r="D32" s="266"/>
      <c r="E32" s="544">
        <f>MEDIAN(E6:E17)</f>
        <v>98.61</v>
      </c>
      <c r="F32" s="359">
        <f>MEDIAN(F6:F17)</f>
        <v>98.61</v>
      </c>
      <c r="G32" s="588" t="s">
        <v>144</v>
      </c>
      <c r="H32" s="343">
        <f>STDEV(H6:H17)</f>
        <v>0.1835074930350259</v>
      </c>
      <c r="I32" s="344">
        <f>STDEV(I6:I17)</f>
        <v>0.16428679653323125</v>
      </c>
      <c r="J32" s="540"/>
      <c r="K32" s="554" t="s">
        <v>236</v>
      </c>
      <c r="L32" s="555"/>
      <c r="M32" s="555"/>
      <c r="N32" s="555"/>
      <c r="O32" s="555"/>
      <c r="P32" s="555"/>
      <c r="Q32" s="555"/>
      <c r="R32" s="556"/>
      <c r="S32" s="834" t="s">
        <v>241</v>
      </c>
      <c r="T32" s="835"/>
      <c r="U32" s="835"/>
      <c r="V32" s="835"/>
      <c r="W32" s="835"/>
      <c r="X32" s="835"/>
      <c r="Y32" s="835"/>
      <c r="Z32" s="835"/>
      <c r="AA32" s="836"/>
    </row>
    <row r="33" spans="1:27" ht="12.75">
      <c r="A33" s="25"/>
      <c r="B33" s="25"/>
      <c r="C33" s="25"/>
      <c r="D33" s="103"/>
      <c r="E33" s="25"/>
      <c r="F33" s="21"/>
      <c r="J33" s="19"/>
      <c r="K33" s="552">
        <f aca="true" t="shared" si="0" ref="K33:R33">MEDIAN(K6:K17)</f>
        <v>100</v>
      </c>
      <c r="L33" s="553">
        <f t="shared" si="0"/>
        <v>100</v>
      </c>
      <c r="M33" s="553">
        <f t="shared" si="0"/>
        <v>100</v>
      </c>
      <c r="N33" s="553">
        <f t="shared" si="0"/>
        <v>100</v>
      </c>
      <c r="O33" s="553">
        <f t="shared" si="0"/>
        <v>100</v>
      </c>
      <c r="P33" s="553">
        <f t="shared" si="0"/>
        <v>100</v>
      </c>
      <c r="Q33" s="553">
        <f t="shared" si="0"/>
        <v>94.44444444444444</v>
      </c>
      <c r="R33" s="333">
        <f t="shared" si="0"/>
        <v>97.22222222222223</v>
      </c>
      <c r="S33" s="379" t="s">
        <v>239</v>
      </c>
      <c r="T33" s="564">
        <f aca="true" t="shared" si="1" ref="T33:AA33">AVERAGE(S6:S17)</f>
        <v>0.8124903333333245</v>
      </c>
      <c r="U33" s="565">
        <f t="shared" si="1"/>
        <v>0.7444400000000009</v>
      </c>
      <c r="V33" s="565">
        <f t="shared" si="1"/>
        <v>0.9305446666666611</v>
      </c>
      <c r="W33" s="565">
        <f t="shared" si="1"/>
        <v>0.8277717916666617</v>
      </c>
      <c r="X33" s="565">
        <f t="shared" si="1"/>
        <v>0.7930451250000031</v>
      </c>
      <c r="Y33" s="565">
        <f t="shared" si="1"/>
        <v>0.7569316666666589</v>
      </c>
      <c r="Z33" s="565">
        <f t="shared" si="1"/>
        <v>0.8944366250000121</v>
      </c>
      <c r="AA33" s="361">
        <f t="shared" si="1"/>
        <v>0.8055482083333357</v>
      </c>
    </row>
    <row r="34" spans="1:27" ht="12.75">
      <c r="A34" s="357"/>
      <c r="B34" s="357"/>
      <c r="C34" s="357"/>
      <c r="D34" s="103"/>
      <c r="E34" s="25"/>
      <c r="F34" s="21"/>
      <c r="J34" s="19"/>
      <c r="K34" s="27"/>
      <c r="L34" s="155"/>
      <c r="M34" s="155"/>
      <c r="N34" s="155"/>
      <c r="O34" s="155"/>
      <c r="P34" s="155"/>
      <c r="Q34" s="155"/>
      <c r="R34" s="19"/>
      <c r="S34" s="589" t="s">
        <v>240</v>
      </c>
      <c r="T34" s="560">
        <f aca="true" t="shared" si="2" ref="T34:AA34">STDEV(S6:S17)</f>
        <v>0.16592316999981033</v>
      </c>
      <c r="U34" s="561">
        <f t="shared" si="2"/>
        <v>0.145527458868356</v>
      </c>
      <c r="V34" s="561">
        <f t="shared" si="2"/>
        <v>0.2024895529738779</v>
      </c>
      <c r="W34" s="561">
        <f t="shared" si="2"/>
        <v>0.14501000791598745</v>
      </c>
      <c r="X34" s="561">
        <f t="shared" si="2"/>
        <v>0.15349014956224818</v>
      </c>
      <c r="Y34" s="561">
        <f t="shared" si="2"/>
        <v>0.17121899982072047</v>
      </c>
      <c r="Z34" s="561">
        <f t="shared" si="2"/>
        <v>0.18820144866196237</v>
      </c>
      <c r="AA34" s="562">
        <f t="shared" si="2"/>
        <v>0.18860343027109217</v>
      </c>
    </row>
    <row r="35" spans="4:27" ht="12.75">
      <c r="D35" s="19"/>
      <c r="E35" s="25"/>
      <c r="F35" s="21"/>
      <c r="J35" s="19"/>
      <c r="K35" s="550" t="s">
        <v>237</v>
      </c>
      <c r="L35" s="551"/>
      <c r="M35" s="551"/>
      <c r="N35" s="551"/>
      <c r="O35" s="551"/>
      <c r="P35" s="551"/>
      <c r="Q35" s="551"/>
      <c r="R35" s="557"/>
      <c r="S35" s="837" t="s">
        <v>242</v>
      </c>
      <c r="T35" s="838"/>
      <c r="U35" s="838"/>
      <c r="V35" s="838"/>
      <c r="W35" s="838"/>
      <c r="X35" s="838"/>
      <c r="Y35" s="838"/>
      <c r="Z35" s="838"/>
      <c r="AA35" s="839"/>
    </row>
    <row r="36" spans="5:27" ht="13.5" thickBot="1">
      <c r="E36" s="23"/>
      <c r="J36" s="547"/>
      <c r="K36" s="548">
        <f aca="true" t="shared" si="3" ref="K36:R36">MEDIAN(K19:K30)</f>
        <v>69.66911764705883</v>
      </c>
      <c r="L36" s="549">
        <f t="shared" si="3"/>
        <v>65.68627450980392</v>
      </c>
      <c r="M36" s="549">
        <f t="shared" si="3"/>
        <v>25.81699346405229</v>
      </c>
      <c r="N36" s="549">
        <f t="shared" si="3"/>
        <v>26.470588235294116</v>
      </c>
      <c r="O36" s="549">
        <f t="shared" si="3"/>
        <v>100</v>
      </c>
      <c r="P36" s="549">
        <f t="shared" si="3"/>
        <v>100</v>
      </c>
      <c r="Q36" s="549">
        <f t="shared" si="3"/>
        <v>93.93382352941177</v>
      </c>
      <c r="R36" s="558">
        <f t="shared" si="3"/>
        <v>100</v>
      </c>
      <c r="S36" s="379" t="s">
        <v>239</v>
      </c>
      <c r="T36" s="564">
        <f>AVERAGE(S19:S30)</f>
        <v>1.430538666666673</v>
      </c>
      <c r="U36" s="565">
        <f>AVERAGE(T19:T30)</f>
        <v>1.5694301666666608</v>
      </c>
      <c r="V36" s="565">
        <f>AVERAGE(U19:U20,U25:U26,U28,U30)</f>
        <v>2.5083033333333233</v>
      </c>
      <c r="W36" s="565">
        <f>AVERAGE(V19:V20,V25:V26,V28,V30)</f>
        <v>1.8388647500000108</v>
      </c>
      <c r="X36" s="565">
        <f>AVERAGE(W19:W30)</f>
        <v>1.0680467499999946</v>
      </c>
      <c r="Y36" s="565">
        <f>AVERAGE(X19:X30)</f>
        <v>1.0333206666666708</v>
      </c>
      <c r="Z36" s="565">
        <f>AVERAGE(Y19:Y30)</f>
        <v>1.3499927916666696</v>
      </c>
      <c r="AA36" s="361">
        <f>AVERAGE(Z19:Z30)</f>
        <v>1.077762166666662</v>
      </c>
    </row>
    <row r="37" spans="10:27" ht="13.5" thickBot="1">
      <c r="J37" s="134"/>
      <c r="K37" s="23"/>
      <c r="L37" s="23"/>
      <c r="M37" s="23"/>
      <c r="N37" s="23"/>
      <c r="O37" s="23"/>
      <c r="P37" s="23"/>
      <c r="Q37" s="23"/>
      <c r="R37" s="103"/>
      <c r="S37" s="321" t="s">
        <v>240</v>
      </c>
      <c r="T37" s="563">
        <f>STDEV(S19:S30)</f>
        <v>0.458797854353414</v>
      </c>
      <c r="U37" s="343">
        <f>STDEV(T19:T30)</f>
        <v>0.4379002745235718</v>
      </c>
      <c r="V37" s="343">
        <f>STDEV(U19:U20,U25:U26,U28,U30)</f>
        <v>1.0738199787946967</v>
      </c>
      <c r="W37" s="343">
        <f>STDEV(V19:V20,V25:V26,V28,V30)</f>
        <v>0.648903287098592</v>
      </c>
      <c r="X37" s="343">
        <f>STDEV(W19:W30)</f>
        <v>0.34270173174466706</v>
      </c>
      <c r="Y37" s="343">
        <f>STDEV(X19:X30)</f>
        <v>0.36631556276896377</v>
      </c>
      <c r="Z37" s="343">
        <f>STDEV(Y19:Y30)</f>
        <v>0.4237797343700462</v>
      </c>
      <c r="AA37" s="344">
        <f>STDEV(Z19:Z30)</f>
        <v>0.35442497885386665</v>
      </c>
    </row>
    <row r="38" spans="10:27" ht="12.75">
      <c r="J38" s="134"/>
      <c r="S38" s="23"/>
      <c r="T38" s="559"/>
      <c r="U38" s="559"/>
      <c r="V38" s="559"/>
      <c r="W38" s="559" t="s">
        <v>68</v>
      </c>
      <c r="X38" s="559"/>
      <c r="Y38" s="559"/>
      <c r="Z38" s="559"/>
      <c r="AA38" s="23"/>
    </row>
    <row r="39" ht="12.75">
      <c r="J39" s="134"/>
    </row>
    <row r="41" ht="12.75">
      <c r="S41" s="131"/>
    </row>
    <row r="42" spans="18:24" ht="12.75">
      <c r="R42" s="546"/>
      <c r="S42" s="546"/>
      <c r="T42" s="546"/>
      <c r="U42" s="546"/>
      <c r="V42" s="546"/>
      <c r="W42" s="546"/>
      <c r="X42" s="546"/>
    </row>
  </sheetData>
  <mergeCells count="25">
    <mergeCell ref="S32:AA32"/>
    <mergeCell ref="S35:AA35"/>
    <mergeCell ref="E1:I1"/>
    <mergeCell ref="E2:F2"/>
    <mergeCell ref="S1:Z1"/>
    <mergeCell ref="K18:Z18"/>
    <mergeCell ref="K5:Z5"/>
    <mergeCell ref="S2:T2"/>
    <mergeCell ref="U2:V2"/>
    <mergeCell ref="W2:X2"/>
    <mergeCell ref="A1:A2"/>
    <mergeCell ref="B1:D1"/>
    <mergeCell ref="B2:B3"/>
    <mergeCell ref="C2:D2"/>
    <mergeCell ref="K1:R1"/>
    <mergeCell ref="K2:L2"/>
    <mergeCell ref="M2:N2"/>
    <mergeCell ref="O2:P2"/>
    <mergeCell ref="E18:I18"/>
    <mergeCell ref="E30:F30"/>
    <mergeCell ref="E29:I29"/>
    <mergeCell ref="Y2:Z2"/>
    <mergeCell ref="E5:I5"/>
    <mergeCell ref="Q2:R2"/>
    <mergeCell ref="E20:I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Giorgi</cp:lastModifiedBy>
  <dcterms:created xsi:type="dcterms:W3CDTF">2009-03-05T16:33:12Z</dcterms:created>
  <dcterms:modified xsi:type="dcterms:W3CDTF">2011-01-05T19:54:52Z</dcterms:modified>
  <cp:category/>
  <cp:version/>
  <cp:contentType/>
  <cp:contentStatus/>
</cp:coreProperties>
</file>