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95" yWindow="65461" windowWidth="8685" windowHeight="8940" tabRatio="810" activeTab="0"/>
  </bookViews>
  <sheets>
    <sheet name="Contents" sheetId="1" r:id="rId1"/>
    <sheet name="Demography" sheetId="2" r:id="rId2"/>
    <sheet name="Visit count" sheetId="3" r:id="rId3"/>
    <sheet name="Visit 1 - Neglect" sheetId="4" r:id="rId4"/>
    <sheet name="Visit 1 - NEI-VFQ Qs " sheetId="5" r:id="rId5"/>
    <sheet name="Visit 1 - Indep Mobility Qs" sheetId="6" r:id="rId6"/>
    <sheet name="Visit 2" sheetId="7" r:id="rId7"/>
    <sheet name="Visit 3" sheetId="8" r:id="rId8"/>
    <sheet name="Visit 4" sheetId="9" r:id="rId9"/>
    <sheet name="Visit 5" sheetId="10" r:id="rId10"/>
    <sheet name="Wearing Times" sheetId="11" r:id="rId11"/>
    <sheet name="Visit 5 -NEI-VFQ Test" sheetId="12" r:id="rId12"/>
    <sheet name="Visit 5 - Indep Mobility Qs" sheetId="13" r:id="rId13"/>
    <sheet name="months_later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Rob Giorgi</author>
  </authors>
  <commentList>
    <comment ref="G23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BVAT calibrated for 10 feet, measured at 10 feet.</t>
        </r>
      </text>
    </comment>
    <comment ref="G22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BVAT calibrated for 10 feet, measured at 10 feet.</t>
        </r>
      </text>
    </comment>
    <comment ref="B26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Exit interview was performed over the phone by Eli Peli and Russell Woods on 10/11/05</t>
        </r>
      </text>
    </comment>
    <comment ref="B24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Exit interview only over the phone.</t>
        </r>
      </text>
    </comment>
    <comment ref="AC5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"Reading"
</t>
        </r>
      </text>
    </comment>
    <comment ref="AC6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"Glare"</t>
        </r>
      </text>
    </comment>
    <comment ref="AC9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"Reading"
"Objects at ground level"
</t>
        </r>
      </text>
    </comment>
    <comment ref="AC12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"reaching for objects"</t>
        </r>
      </text>
    </comment>
    <comment ref="AC13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Congenital hemianope: Prisms didn't help nor hinder; never knew he had loss.</t>
        </r>
      </text>
    </comment>
    <comment ref="Z7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"Can see more."</t>
        </r>
      </text>
    </comment>
    <comment ref="Z14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"Searching for objects."</t>
        </r>
      </text>
    </comment>
    <comment ref="Z15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"Driving."
"Sport events."</t>
        </r>
      </text>
    </comment>
    <comment ref="AC18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"False alarm" = Startle?</t>
        </r>
      </text>
    </comment>
    <comment ref="AC19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"Glare."</t>
        </r>
      </text>
    </comment>
    <comment ref="AC21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"Gardening."</t>
        </r>
      </text>
    </comment>
    <comment ref="Z22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"Driving."</t>
        </r>
      </text>
    </comment>
    <comment ref="AC22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"Startle."</t>
        </r>
      </text>
    </comment>
    <comment ref="AC23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"Work."</t>
        </r>
      </text>
    </comment>
    <comment ref="AC24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"Headache."
"Double vision."</t>
        </r>
      </text>
    </comment>
  </commentList>
</comments>
</file>

<file path=xl/comments11.xml><?xml version="1.0" encoding="utf-8"?>
<comments xmlns="http://schemas.openxmlformats.org/spreadsheetml/2006/main">
  <authors>
    <author>Rob Giorgi</author>
  </authors>
  <commentList>
    <comment ref="E20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These patients did not have a visit 4 (mall walkers).</t>
        </r>
      </text>
    </comment>
    <comment ref="H20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Days between visits 3 and 5.</t>
        </r>
      </text>
    </comment>
    <comment ref="C20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from interview in driving sim study</t>
        </r>
      </text>
    </comment>
    <comment ref="I20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from interview in driving sim study.</t>
        </r>
      </text>
    </comment>
    <comment ref="I23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This a weighted sum of diary for which we had data and report at visit 5 for the days we did not have diary data.</t>
        </r>
      </text>
    </comment>
    <comment ref="I26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This is from exit interview.</t>
        </r>
      </text>
    </comment>
    <comment ref="I24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This from exit interview.
</t>
        </r>
      </text>
    </comment>
    <comment ref="C6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We had a single diary. 268 hours worn in 30 days. Average used for study.</t>
        </r>
      </text>
    </comment>
    <comment ref="C21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From driving sim interview.</t>
        </r>
      </text>
    </comment>
    <comment ref="C12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Based on interview remarks.</t>
        </r>
      </text>
    </comment>
    <comment ref="C11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This from diary data at v3. Pt. Reported wearing "full time" at v5.</t>
        </r>
      </text>
    </comment>
    <comment ref="I13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Patient reported at V5 wearing for 5.5 hours a day except for 2 weeks before v5 when he was not wearing.</t>
        </r>
      </text>
    </comment>
    <comment ref="D14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From single diary we had and self report.</t>
        </r>
      </text>
    </comment>
    <comment ref="C18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From v5 interview data.</t>
        </r>
      </text>
    </comment>
  </commentList>
</comments>
</file>

<file path=xl/comments12.xml><?xml version="1.0" encoding="utf-8"?>
<comments xmlns="http://schemas.openxmlformats.org/spreadsheetml/2006/main">
  <authors>
    <author>robert giorgi</author>
  </authors>
  <commentList>
    <comment ref="A9" authorId="0">
      <text>
        <r>
          <rPr>
            <b/>
            <sz val="8"/>
            <rFont val="Tahoma"/>
            <family val="0"/>
          </rPr>
          <t>Robert giorgi:</t>
        </r>
        <r>
          <rPr>
            <sz val="8"/>
            <rFont val="Tahoma"/>
            <family val="0"/>
          </rPr>
          <t xml:space="preserve">
subject did not come in for visit 6, so no data was collected. Instead, Eli conducted a phone interview/ subject (exit Interview).RG</t>
        </r>
      </text>
    </comment>
  </commentList>
</comments>
</file>

<file path=xl/comments13.xml><?xml version="1.0" encoding="utf-8"?>
<comments xmlns="http://schemas.openxmlformats.org/spreadsheetml/2006/main">
  <authors>
    <author>Rob Giorgi</author>
  </authors>
  <commentList>
    <comment ref="B24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Refused to attend visit 6. Refused to have questionnaire mailed to him for completion. Refused to do over phone.</t>
        </r>
      </text>
    </comment>
  </commentList>
</comments>
</file>

<file path=xl/comments14.xml><?xml version="1.0" encoding="utf-8"?>
<comments xmlns="http://schemas.openxmlformats.org/spreadsheetml/2006/main">
  <authors>
    <author>Rob Giorgi</author>
  </authors>
  <commentList>
    <comment ref="K21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Subject was on a tight budget, so unable to spend $1000.00, but finds glasses invaluable.</t>
        </r>
      </text>
    </comment>
    <comment ref="K24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Subject unable to spend 1000.00. Would spend $100.00.</t>
        </r>
      </text>
    </comment>
    <comment ref="T18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Subject's brain tumor recurred, affecting prism eye; discontinued wear.</t>
        </r>
      </text>
    </comment>
    <comment ref="L14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>24 March 2006: Subject is deceased.</t>
        </r>
      </text>
    </comment>
    <comment ref="L17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>Subject lives in Africa. No way to contact him.</t>
        </r>
      </text>
    </comment>
    <comment ref="L12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>March 2006: Unable to locate subject.</t>
        </r>
      </text>
    </comment>
    <comment ref="C21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Patient not included in 3-month follow-up time.</t>
        </r>
      </text>
    </comment>
    <comment ref="D21" authorId="0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Patient not included in 3-month follow-up time.</t>
        </r>
      </text>
    </comment>
  </commentList>
</comments>
</file>

<file path=xl/comments2.xml><?xml version="1.0" encoding="utf-8"?>
<comments xmlns="http://schemas.openxmlformats.org/spreadsheetml/2006/main">
  <authors>
    <author>giorgi</author>
    <author>HP Authorized Customer</author>
  </authors>
  <commentList>
    <comment ref="R17" authorId="0">
      <text>
        <r>
          <rPr>
            <b/>
            <sz val="8"/>
            <rFont val="Tahoma"/>
            <family val="0"/>
          </rPr>
          <t>giorgi:</t>
        </r>
        <r>
          <rPr>
            <sz val="8"/>
            <rFont val="Tahoma"/>
            <family val="0"/>
          </rPr>
          <t xml:space="preserve">
NOT PERFORMED. PT BECAME SICK.</t>
        </r>
      </text>
    </comment>
    <comment ref="R18" authorId="0">
      <text>
        <r>
          <rPr>
            <b/>
            <sz val="8"/>
            <rFont val="Tahoma"/>
            <family val="0"/>
          </rPr>
          <t>giorgi:</t>
        </r>
        <r>
          <rPr>
            <sz val="8"/>
            <rFont val="Tahoma"/>
            <family val="0"/>
          </rPr>
          <t xml:space="preserve">
NOT PERFORMED.</t>
        </r>
      </text>
    </comment>
    <comment ref="L20" authorId="1">
      <text>
        <r>
          <rPr>
            <b/>
            <sz val="8"/>
            <rFont val="Tahoma"/>
            <family val="0"/>
          </rPr>
          <t>HP Authorized Customer:</t>
        </r>
        <r>
          <rPr>
            <sz val="8"/>
            <rFont val="Tahoma"/>
            <family val="0"/>
          </rPr>
          <t xml:space="preserve">
Was 10 in earlier spreadsheet 4-20=08….calc values change</t>
        </r>
      </text>
    </comment>
    <comment ref="A9" authorId="1">
      <text>
        <r>
          <rPr>
            <b/>
            <sz val="8"/>
            <rFont val="Tahoma"/>
            <family val="0"/>
          </rPr>
          <t>Rob Giorgi:
Left study for non-vision reasons.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Russell Woods</author>
    <author>Rob Giorgi</author>
  </authors>
  <commentList>
    <comment ref="I11" authorId="0">
      <text>
        <r>
          <rPr>
            <b/>
            <sz val="9"/>
            <rFont val="Geneva"/>
            <family val="0"/>
          </rPr>
          <t>Russell Woods:</t>
        </r>
        <r>
          <rPr>
            <sz val="9"/>
            <rFont val="Geneva"/>
            <family val="0"/>
          </rPr>
          <t xml:space="preserve">
note the break in wearing between visits 3 and 4</t>
        </r>
      </text>
    </comment>
    <comment ref="C24" authorId="1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Left study due to health issues.</t>
        </r>
      </text>
    </comment>
    <comment ref="C7" authorId="1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Left for vision reasons: Not happy with peripheral prism glasses.</t>
        </r>
      </text>
    </comment>
    <comment ref="E9" authorId="1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Moved out of state.</t>
        </r>
      </text>
    </comment>
    <comment ref="D15" authorId="1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Left study for vision reasons: not happy w/ peripheral prism glasses.</t>
        </r>
      </text>
    </comment>
    <comment ref="F26" authorId="1">
      <text>
        <r>
          <rPr>
            <b/>
            <sz val="8"/>
            <rFont val="Tahoma"/>
            <family val="0"/>
          </rPr>
          <t>Rob Giorgi:</t>
        </r>
        <r>
          <rPr>
            <sz val="8"/>
            <rFont val="Tahoma"/>
            <family val="0"/>
          </rPr>
          <t xml:space="preserve">
Two patients dropped for non-vision reasons; two dropped b/c of dissatisfaction w/ device.</t>
        </r>
      </text>
    </comment>
  </commentList>
</comments>
</file>

<file path=xl/sharedStrings.xml><?xml version="1.0" encoding="utf-8"?>
<sst xmlns="http://schemas.openxmlformats.org/spreadsheetml/2006/main" count="1571" uniqueCount="354">
  <si>
    <t>Wore Bifocals?</t>
  </si>
  <si>
    <t>Visit 3 - Fitting of Lower Prism</t>
  </si>
  <si>
    <t>Attrition Data</t>
  </si>
  <si>
    <t xml:space="preserve">Questions 23&amp;24 </t>
  </si>
  <si>
    <t>Both eyes</t>
  </si>
  <si>
    <t>Left  eye</t>
  </si>
  <si>
    <t>Questions 1&amp;2</t>
  </si>
  <si>
    <t>Questions 3-7  Moving about at:</t>
  </si>
  <si>
    <t>Part 1 - General Health and Vision</t>
  </si>
  <si>
    <t>not tested</t>
  </si>
  <si>
    <t>Right eye 20/__</t>
  </si>
  <si>
    <t>Left eye 20/__</t>
  </si>
  <si>
    <t>Both eyes 20/__</t>
  </si>
  <si>
    <t>Questions 8-18</t>
  </si>
  <si>
    <t>efficiently</t>
  </si>
  <si>
    <t>Right eye 15/__</t>
  </si>
  <si>
    <t>Both eyes 15/__</t>
  </si>
  <si>
    <t>Left eye 15/__</t>
  </si>
  <si>
    <t>Demography</t>
  </si>
  <si>
    <t>Yes</t>
  </si>
  <si>
    <t>No</t>
  </si>
  <si>
    <t>"...pay $1000?"</t>
  </si>
  <si>
    <t>Questions 25-31: Avoid Bumping Into</t>
  </si>
  <si>
    <t>Questions 32-35</t>
  </si>
  <si>
    <t>Average</t>
  </si>
  <si>
    <t>Visit Number</t>
  </si>
  <si>
    <t>R</t>
  </si>
  <si>
    <t>L</t>
  </si>
  <si>
    <t>Visit 4</t>
  </si>
  <si>
    <t>"still wearing?"</t>
  </si>
  <si>
    <t>"...experience benefit?"</t>
  </si>
  <si>
    <t>"...difficulties"</t>
  </si>
  <si>
    <t>"...pay $1000.00?"</t>
  </si>
  <si>
    <t>some</t>
  </si>
  <si>
    <t>m</t>
  </si>
  <si>
    <t>Bells Test</t>
  </si>
  <si>
    <t># missed on right</t>
  </si>
  <si>
    <t>Hand Used</t>
  </si>
  <si>
    <t>Manner Completed</t>
  </si>
  <si>
    <t>Score</t>
  </si>
  <si>
    <t>Appendix of Optional Additional Questions</t>
  </si>
  <si>
    <t>Right eye</t>
  </si>
  <si>
    <t>extra letters</t>
  </si>
  <si>
    <t>Questions 19&amp;20 Lighting Changes during day:</t>
  </si>
  <si>
    <t>Questions 21&amp;22 Lighting Changes at night:</t>
  </si>
  <si>
    <t>3 month follow-up</t>
  </si>
  <si>
    <t>Long Term Follow-up</t>
  </si>
  <si>
    <t>Date stopped wearing, if answer to "still wearing?" is, "no".</t>
  </si>
  <si>
    <t>Total number of days worn since Visit 2</t>
  </si>
  <si>
    <t>Total number of weeks worn since visit 2</t>
  </si>
  <si>
    <t>na</t>
  </si>
  <si>
    <t>no</t>
  </si>
  <si>
    <t>slowly</t>
  </si>
  <si>
    <t>Days since Visit 1</t>
  </si>
  <si>
    <t>carefully</t>
  </si>
  <si>
    <t>Subject ID</t>
  </si>
  <si>
    <t>Study No.</t>
  </si>
  <si>
    <t>yes</t>
  </si>
  <si>
    <t>Visual Direction Experiment</t>
  </si>
  <si>
    <t>Adaptation YES/ NO</t>
  </si>
  <si>
    <t>Visit Timelines</t>
  </si>
  <si>
    <t>Date of Visit 3</t>
  </si>
  <si>
    <t>Date of Visit 4</t>
  </si>
  <si>
    <t>Days since visit 2</t>
  </si>
  <si>
    <t>Image size</t>
  </si>
  <si>
    <t>mm into seeing</t>
  </si>
  <si>
    <t>converted to degrees</t>
  </si>
  <si>
    <t>mm into non-seeing</t>
  </si>
  <si>
    <t>Total horizontal Scan (mm)</t>
  </si>
  <si>
    <t>Total horizontal Scan (deg)</t>
  </si>
  <si>
    <t>25% Quart</t>
  </si>
  <si>
    <t>75% Quart</t>
  </si>
  <si>
    <t>Average Horizontal Scan both eyes (mm)</t>
  </si>
  <si>
    <t>Average Horizontal Scan both eyes (deg)</t>
  </si>
  <si>
    <t>Std Dev</t>
  </si>
  <si>
    <t>Median</t>
  </si>
  <si>
    <t>Min</t>
  </si>
  <si>
    <t>Max</t>
  </si>
  <si>
    <t>Visit 1: Screening</t>
  </si>
  <si>
    <t>Visit 5: Exit Interview</t>
  </si>
  <si>
    <t>Date of Visit</t>
  </si>
  <si>
    <t>Line Bisection test</t>
  </si>
  <si>
    <t>quickly</t>
  </si>
  <si>
    <t>Total</t>
  </si>
  <si>
    <t>Difficulty</t>
  </si>
  <si>
    <t>Benefits</t>
  </si>
  <si>
    <t>Visit 3</t>
  </si>
  <si>
    <t>Visit 5</t>
  </si>
  <si>
    <t>Subject ID:</t>
  </si>
  <si>
    <t>Estimated Total Wear (hours)</t>
  </si>
  <si>
    <t>Total Days in Trial</t>
  </si>
  <si>
    <t>Visit 5 - Final Visit</t>
  </si>
  <si>
    <t>Days between 2 and 3</t>
  </si>
  <si>
    <t>Hours worn between 2 and 3</t>
  </si>
  <si>
    <t>Days between 3 and 4</t>
  </si>
  <si>
    <t>Hours worn between 3 and 4</t>
  </si>
  <si>
    <t>Days between 4 and 5</t>
  </si>
  <si>
    <t>Hours worn between 4 and 5</t>
  </si>
  <si>
    <t>"continue to wear?"</t>
  </si>
  <si>
    <t>This workbook is provided to you to share data reported in:</t>
  </si>
  <si>
    <t>Bells and Line
Pass/ Fail</t>
  </si>
  <si>
    <t>not recorded</t>
  </si>
  <si>
    <t>not available</t>
  </si>
  <si>
    <t>Age</t>
  </si>
  <si>
    <t>#
missed on left</t>
  </si>
  <si>
    <t>Bells and Line Bisection Pass/Fail Status</t>
  </si>
  <si>
    <t>Line Bisection # missed</t>
  </si>
  <si>
    <t>Bells #missed</t>
  </si>
  <si>
    <t>Line Bisection
 % deviation</t>
  </si>
  <si>
    <t>Bells and Line Bisection Lateralization Status</t>
  </si>
  <si>
    <t>Bells and Line score</t>
  </si>
  <si>
    <t xml:space="preserve">Combined Bells and Line Bisection </t>
  </si>
  <si>
    <t>Combined Bells, Line Bisection and MMSE
 Pass/Fail Status</t>
  </si>
  <si>
    <t>Mean % Deviation</t>
  </si>
  <si>
    <t># missed lines on Left</t>
  </si>
  <si>
    <t># missed lines on Right</t>
  </si>
  <si>
    <t>Mini-Mental State Exam
(MMSE)</t>
  </si>
  <si>
    <t>Bells # missed</t>
  </si>
  <si>
    <t>Clinical and Laboratory Evaluation of Peripheral Prism Glasses for Hemianopia</t>
  </si>
  <si>
    <t>Total Subjects</t>
  </si>
  <si>
    <t>Pass/Fail Status</t>
  </si>
  <si>
    <t>Wearing period during trial (days)</t>
  </si>
  <si>
    <t>Duration in trial (days)</t>
  </si>
  <si>
    <t>Wearing period at interview 1 (days)</t>
  </si>
  <si>
    <t>Time of interview 1 (days)</t>
  </si>
  <si>
    <t>Duration at interview 2 (days)</t>
  </si>
  <si>
    <t>Time at interview 2 (days)</t>
  </si>
  <si>
    <t>Total duration of wear (days)</t>
  </si>
  <si>
    <t>Total duration in study (days)</t>
  </si>
  <si>
    <t>Started clinical trial</t>
  </si>
  <si>
    <t>Wearing period (weeks)</t>
  </si>
  <si>
    <t>Completed clinical trial</t>
  </si>
  <si>
    <t>SLO - OD</t>
  </si>
  <si>
    <t>SLO - OS</t>
  </si>
  <si>
    <t>Visit 2 
 Fitting of Upper Prism</t>
  </si>
  <si>
    <t>Hemianopia (L/R)</t>
  </si>
  <si>
    <t>Gender</t>
  </si>
  <si>
    <t>F</t>
  </si>
  <si>
    <t>M</t>
  </si>
  <si>
    <t xml:space="preserve">Total    left = </t>
  </si>
  <si>
    <t xml:space="preserve">right = </t>
  </si>
  <si>
    <t xml:space="preserve">Maximum = </t>
  </si>
  <si>
    <t xml:space="preserve">Age:       Average = </t>
  </si>
  <si>
    <t xml:space="preserve">Female = </t>
  </si>
  <si>
    <t>Visit 2:
 Upper Prism Fitting</t>
  </si>
  <si>
    <t>Visit 3:
 Lower Prism Fitting</t>
  </si>
  <si>
    <t>Visit 4:
 Clinical Assessment</t>
  </si>
  <si>
    <t>Date of
Visit 2</t>
  </si>
  <si>
    <t>Days since
Visit 1</t>
  </si>
  <si>
    <t>Days since Visit 2</t>
  </si>
  <si>
    <t>Weeks since
Visit 1</t>
  </si>
  <si>
    <t>Weeks since
 Visit 2</t>
  </si>
  <si>
    <t>Q1
Overall health</t>
  </si>
  <si>
    <t>Q1: 1 = Excellent, 2 = Very good, 3 = Good, 4 = Fair, 5 = Poor</t>
  </si>
  <si>
    <t>Q2
Eyesight w glasses or contact lenses</t>
  </si>
  <si>
    <t>Q3
Amount of time worry about eyesight</t>
  </si>
  <si>
    <t>Q4
Amount of pain or discomfort in and around your eyes</t>
  </si>
  <si>
    <t>Q3: 1 = None of the time, 2 = A little of the time, 3 = Some of the time, 4 = Most of the time, 5 = All of the time</t>
  </si>
  <si>
    <t>Q4: 1 = None, 2 = Mild, 3 + Moderate, 4 = Severe, 5 = Very severe</t>
  </si>
  <si>
    <t>Q2: 1 = Excellent, 2 = Good, 3 = Fair, 4 = Poor, 5 = Very poor, 6 = Completely Blind</t>
  </si>
  <si>
    <t>LOG10((B10*B6/B8)/20)-B11*(0.1/B12)</t>
  </si>
  <si>
    <t>Q5
Difficulty reading ordinary print in newspapers</t>
  </si>
  <si>
    <t>Q6
Difficulty seeing well up close</t>
  </si>
  <si>
    <t>Q7
Difficulty finding something on a crowded shelf</t>
  </si>
  <si>
    <t xml:space="preserve">Q10
Difficulty in noticing objects off to the side while walking </t>
  </si>
  <si>
    <t>Q11
Difficulty seeing how people react to things</t>
  </si>
  <si>
    <t>Q12
Difficulty picking out and matching your own clothes</t>
  </si>
  <si>
    <t>Q13
Difficulty visiting with people in their homes, at parties or  in restaurants</t>
  </si>
  <si>
    <t>Q14
Difficulty going out to see movies, plays, sports events</t>
  </si>
  <si>
    <t>Q15: 1 = Yes, 2 = No</t>
  </si>
  <si>
    <t>Q15a: 1 = Never drove, 2 = Gave up</t>
  </si>
  <si>
    <t>Q15b: 1 = Mainly eyesight, 2 = Mainly other reasons, 3 = Both eyesight and other reasons</t>
  </si>
  <si>
    <t>Q15
Currently driving, at least once in a while</t>
  </si>
  <si>
    <t>Q15a
If 15 = no, never or gave up driving</t>
  </si>
  <si>
    <t>Q15b
If gave up, eyesight, other reasons, or both</t>
  </si>
  <si>
    <t>Q15c
If driving, difficulty in driving in daytime in familiar places</t>
  </si>
  <si>
    <t>Q16
Difficulty in driving at night</t>
  </si>
  <si>
    <t>Q16a
Difficulty driving in conditions such as bad weather, rush hour, freeway or city traffic</t>
  </si>
  <si>
    <t>Q17 - Q19: 1 = All of the time, 2 = Most of the time, 3 = Some of the time, 4 = A little of the time, 5 = None of the time</t>
  </si>
  <si>
    <t>Part 3: Responses to Visual Problems - How things you do may be affected by your vision</t>
  </si>
  <si>
    <t>Part 2 - Difficulty With Activities - How much difficulty, if any, doing certain activities wearing your glasses or contact lenses if you use them for that activity</t>
  </si>
  <si>
    <t>Q17
Accomplish less than you would like</t>
  </si>
  <si>
    <t>Q18
Limited in how long you can work</t>
  </si>
  <si>
    <t>Q19
Pain or discomfort around eyes limit your activities</t>
  </si>
  <si>
    <t>Q20
Stay at home most of time</t>
  </si>
  <si>
    <t>Q23
Rely too much on what others tell me</t>
  </si>
  <si>
    <t>Q24
Need a lot of help</t>
  </si>
  <si>
    <t>Q25
Worry about embarrassing myself or others</t>
  </si>
  <si>
    <t>Q22
Have less control over what I can do</t>
  </si>
  <si>
    <t>A1 - A2: Scale from 0 to 10, with 0 = Worst and 10 = Best</t>
  </si>
  <si>
    <t>A10: Same as Q16a</t>
  </si>
  <si>
    <t>A11a - A11b: 1 = All of the time, 2 = Most of the time, 3 = Some of the time, 4 = A little of the time, 5 = None of the time</t>
  </si>
  <si>
    <t>A1
Rate overall health</t>
  </si>
  <si>
    <t>A2
Rate eyesight</t>
  </si>
  <si>
    <t>A3
Difficulty reading small print</t>
  </si>
  <si>
    <t>A4
Difficulty figuring out accuracy of bills</t>
  </si>
  <si>
    <t>A5
Difficulty with shaving, hair styling, makeup</t>
  </si>
  <si>
    <t>A6
Difficulty recognizing people across a room</t>
  </si>
  <si>
    <t>A7
Difficulty participating in outdoor activities</t>
  </si>
  <si>
    <t>A8
Difficulty in seeing and enjoying TV</t>
  </si>
  <si>
    <t>A9
Difficulty entertaining at home</t>
  </si>
  <si>
    <t>A11a
Do you have more help because of vision</t>
  </si>
  <si>
    <t>A11b
Are you limited in things you do</t>
  </si>
  <si>
    <t>A12
Irritable because of eyesight</t>
  </si>
  <si>
    <t>A13
Don't go out alone</t>
  </si>
  <si>
    <t xml:space="preserve">Rasch transformed Data </t>
  </si>
  <si>
    <t>m = not answered</t>
  </si>
  <si>
    <t>Q8
Difficulty in reading street signs or store names</t>
  </si>
  <si>
    <t>Q9
Difficulty going down steps, etc in dim light or at night</t>
  </si>
  <si>
    <t>Q21
Feel frustrated</t>
  </si>
  <si>
    <t>Q1
Walking in familiar areas</t>
  </si>
  <si>
    <t>Q2
Walking in unfamiliar areas</t>
  </si>
  <si>
    <t>Q3
Moving about at home</t>
  </si>
  <si>
    <t>Q4
Moving about at work</t>
  </si>
  <si>
    <t>Q5
Moving about in classroom</t>
  </si>
  <si>
    <t>Q6
Moving about in stores</t>
  </si>
  <si>
    <t>Q7
Moving about outdoors</t>
  </si>
  <si>
    <t>Q8
Moving about in crowded situations</t>
  </si>
  <si>
    <t>Q9
Walking at night</t>
  </si>
  <si>
    <t>Q11
Detecting ascending stairwells</t>
  </si>
  <si>
    <t>Q12
Detecting descending stairwells</t>
  </si>
  <si>
    <t>Q13
Walking up steps</t>
  </si>
  <si>
    <t>Q14
Walking down steps</t>
  </si>
  <si>
    <t>Q15
Stepping onto curbs</t>
  </si>
  <si>
    <t>Q16
Stepping off curbs</t>
  </si>
  <si>
    <t>Q17
Walking through doorways</t>
  </si>
  <si>
    <t>Q18
Walking in high-glare areas</t>
  </si>
  <si>
    <t>Q19
Adjusting to light changes during the day: indoor to outdoor</t>
  </si>
  <si>
    <t>Q20
Adjusting to light changes during the day: outdoor to indoor</t>
  </si>
  <si>
    <t>Q21
Adjusting to light changes at night: indoor to streetlights</t>
  </si>
  <si>
    <t>Q22
Adjusting to light changes at night: streetlights to indoor</t>
  </si>
  <si>
    <t>Q23
Walking in dimly lit indoor areas</t>
  </si>
  <si>
    <t>Q24
Being aware of another person's presence</t>
  </si>
  <si>
    <t>Q25
Avoid bumping into people</t>
  </si>
  <si>
    <t>Q26
Avoid bumping into walls</t>
  </si>
  <si>
    <t>Q27
Avoid bumping into head-height objects</t>
  </si>
  <si>
    <t>Q28
Avoid bumping into shoulder-height objects</t>
  </si>
  <si>
    <t>Q29
Avoid bumping into waist-height objects</t>
  </si>
  <si>
    <t>Q30
Avoid bumping knee-height objects</t>
  </si>
  <si>
    <t>Q31
Avoid bumping into low-lying objects</t>
  </si>
  <si>
    <t>Q32
Avoid tripping over uneven travel surfaces</t>
  </si>
  <si>
    <t>Q33
Moving around in social gatherings</t>
  </si>
  <si>
    <t>Q34
Finding restrooms in public places</t>
  </si>
  <si>
    <t>Q35
Seeing cars at intersections</t>
  </si>
  <si>
    <t xml:space="preserve">VISIT 1
Tests for Neglect </t>
  </si>
  <si>
    <t>Visual Acuity - logMAR</t>
  </si>
  <si>
    <t>Visual Acuity - Snellen</t>
  </si>
  <si>
    <t>Macular Sparing</t>
  </si>
  <si>
    <t>Absolute difference of missed bells</t>
  </si>
  <si>
    <t>Absolute difference of missed lines</t>
  </si>
  <si>
    <t>SLO - OU</t>
  </si>
  <si>
    <t>Status - Clinical Trial</t>
  </si>
  <si>
    <t>Total enrolled at each visit</t>
  </si>
  <si>
    <t xml:space="preserve"> </t>
  </si>
  <si>
    <t>Goldmann Perimetry
(following fitting of upper prism)</t>
  </si>
  <si>
    <t>Lower edge of Upper Prism in degrees 
(Height in degrees from lower edge of upper prism to horizontal meridian. Used as "t-estimate a" in Visual Direction experiment.)</t>
  </si>
  <si>
    <t>Date of Visit 5</t>
  </si>
  <si>
    <t>Total number of days worn since visit 5</t>
  </si>
  <si>
    <t>Total number of weeks worn since visit 5</t>
  </si>
  <si>
    <t>Reading Rx</t>
  </si>
  <si>
    <t>Distance Rx</t>
  </si>
  <si>
    <t>Walking
1 = yes
0= no</t>
  </si>
  <si>
    <t>Crowds
1 =yes
2 = no</t>
  </si>
  <si>
    <t>Supermarkets/ Malls
1 = yes
0 = no</t>
  </si>
  <si>
    <t xml:space="preserve">Total that perceived benefits = </t>
  </si>
  <si>
    <t xml:space="preserve">Total that perceived difficulties = </t>
  </si>
  <si>
    <t>Stairs
1 =yes
2 = no</t>
  </si>
  <si>
    <t>Other Benefits
1 = yes
0 = no</t>
  </si>
  <si>
    <t>Total for Visits 
From Visit 2 through Visit 5</t>
  </si>
  <si>
    <t>Wearing times</t>
  </si>
  <si>
    <t>Estimated Hours/Day
from Visit 2 through Visit 5</t>
  </si>
  <si>
    <t>Successful wearers</t>
  </si>
  <si>
    <t>Non-successful wearers</t>
  </si>
  <si>
    <t>Hours/Day between 3 and 4</t>
  </si>
  <si>
    <t>Hours/Day between 4 and 5</t>
  </si>
  <si>
    <t>Estimated Hours/Day</t>
  </si>
  <si>
    <t>Hours/Day between 2 and 3</t>
  </si>
  <si>
    <t>A3 - A9: 1 = No difficulty at all, 2 = A little difficulty, 3 = Moderate difficulty, 4 = Extreme difficulty, 5 = Stopped because of eyesight, 6 = Stopped for other reasons or not interested in doing this</t>
  </si>
  <si>
    <t>Q5 - Q14: 1 = No difficulty at all, 2 = A little difficulty, 3 = Moderate difficulty, 4 = Extreme difficulty, 
5 = Stopped doing this because of eyesight, 6 = Stopped doing this for other reasons to not interested in doing this</t>
  </si>
  <si>
    <t>A12 - A13: 1 = Definitely true, 2 = Mostly true, 3 = Not sure, 4 = Mostly false, 5 = Definitely false</t>
  </si>
  <si>
    <t>Q15c: 1 = No difficulty at all, 2 = A little difficulty, 3 = Moderate difficulty, 4 = Extreme difficulty</t>
  </si>
  <si>
    <t>Q16 - Q16a: 1 = No difficulty at all, 2 = A little difficulty, 3 = Moderate difficulty, 4 = Extreme difficulty, 5 = Stopped because of eyesight, 6 = Stopped for other reasons or are not interested in doing</t>
  </si>
  <si>
    <t>Q20 - Q25: 1 = Definitely true, 2 = Mostly true, 3 = Not sure, 4 = Mostly false, 5 = Definitely false</t>
  </si>
  <si>
    <t>Q10 
Using public transportation</t>
  </si>
  <si>
    <t>Total still wearing at 3 month follow-up</t>
  </si>
  <si>
    <t>Total did not continue to wear</t>
  </si>
  <si>
    <t>Total did/has not finished</t>
  </si>
  <si>
    <t>Total at start of study</t>
  </si>
  <si>
    <t>Total still wearing at long term follow-up</t>
  </si>
  <si>
    <t>Proximity</t>
  </si>
  <si>
    <t>Total "No"</t>
  </si>
  <si>
    <t>no response</t>
  </si>
  <si>
    <t>Unable to contact</t>
  </si>
  <si>
    <t>No longer wearing</t>
  </si>
  <si>
    <t>Total contacted</t>
  </si>
  <si>
    <t>Total "Yes"</t>
  </si>
  <si>
    <t>Visual Acuity (single letter)
Viewing distance is 15 feet. The BVAT is calibrated for 10 feet. These columns contain raw data.</t>
  </si>
  <si>
    <t>Visual Acuity
 (logMAR)</t>
  </si>
  <si>
    <t>Visual Acuity (logMAR) at visit 1</t>
  </si>
  <si>
    <t>Difference in Visual Acuity (logMAR)
1st and 5th visits</t>
  </si>
  <si>
    <t>Total " Yes"</t>
  </si>
  <si>
    <t>Goldmann Perimetry 
(following fitting of superior prism)</t>
  </si>
  <si>
    <t>Upper prism:
Horizontal Extension in degrees from edge of seeing hemifield to edge of prism expansion</t>
  </si>
  <si>
    <t>Lower prism - extension in degrees
 Horizontal extension in degrees from edge of seeing hemifield to edge of prism expansion: Lower prism.</t>
  </si>
  <si>
    <t xml:space="preserve">Upper edge of lower prism in degrees.
Height in degrees from horizontal meridian to upper edge of lower prism: Used as "t-estimate b" in Visual Direction Experiment. </t>
  </si>
  <si>
    <t>Lower prism - extension in degrees</t>
  </si>
  <si>
    <t>Upper prism - extension in degrees</t>
  </si>
  <si>
    <t>VA -Snellen</t>
  </si>
  <si>
    <t xml:space="preserve">Right eye </t>
  </si>
  <si>
    <t xml:space="preserve">Left eye </t>
  </si>
  <si>
    <t>Total demonstrating macular sparing</t>
  </si>
  <si>
    <t>VA -logMAR</t>
  </si>
  <si>
    <t>VA - Snellen</t>
  </si>
  <si>
    <t>Mini-Mental State Exam</t>
  </si>
  <si>
    <t>Absolute Mean % Deviation</t>
  </si>
  <si>
    <t>Line Bisection-Absolute Mean Deviation</t>
  </si>
  <si>
    <t>Duration of trial - weeks</t>
  </si>
  <si>
    <t>Visual Direction Experiment - 
Adaptation YES/ NO</t>
  </si>
  <si>
    <r>
      <t xml:space="preserve"> Independent Mobility Questionnaire</t>
    </r>
    <r>
      <rPr>
        <b/>
        <sz val="12"/>
        <rFont val="Arial"/>
        <family val="0"/>
      </rPr>
      <t xml:space="preserve">
 Part 1: Independent Mobility Questionnaire
      Difficulty rating, where 1 = No difficulty and 5 = Extreme difficulty. N/A = Not applicable or only perform activity with assistance.
      m = answer missing
(Highlighted questions  represent those expected to be sensitive to the effects of prism glasses. They are related to mobility and obstacle avoidance.)
</t>
    </r>
  </si>
  <si>
    <t xml:space="preserve">                                                                         National Eye Institute -Visual Functioning Questionnaire - 25 (VFQ-25)
(Highlighted questions represent those expected to be sensitive to the effects of prism glasses. They are related to mobility and obstacle avoidance.)</t>
  </si>
  <si>
    <t>Where:</t>
  </si>
  <si>
    <t>Total subjects at Visit 2</t>
  </si>
  <si>
    <t>Minimum</t>
  </si>
  <si>
    <t>Maximum</t>
  </si>
  <si>
    <t>Min =</t>
  </si>
  <si>
    <t xml:space="preserve">Max = </t>
  </si>
  <si>
    <t>Total subjects at Visit 3</t>
  </si>
  <si>
    <t>Total subjects at Visit 4</t>
  </si>
  <si>
    <t>Total subjects at Visit 5</t>
  </si>
  <si>
    <t>Gray fill indicates that the subject did not complete/ or was not eligible for the clinical or walking aspect of the study.</t>
  </si>
  <si>
    <t>Date of interview</t>
  </si>
  <si>
    <t>Period since visit 5 (weeks)</t>
  </si>
  <si>
    <t>Total number of months worn since visit 2</t>
  </si>
  <si>
    <t xml:space="preserve">Minimum = </t>
  </si>
  <si>
    <t>Exit Questionnaire (At end of study)</t>
  </si>
  <si>
    <t xml:space="preserve">     Male = </t>
  </si>
  <si>
    <t>Period since v2 (weeks)</t>
  </si>
  <si>
    <t>deceased</t>
  </si>
  <si>
    <t>Three month follow-up</t>
  </si>
  <si>
    <t>Number of weeks since Visit 5</t>
  </si>
  <si>
    <t>Number of weeks since Visit 2</t>
  </si>
  <si>
    <r>
      <t>The '</t>
    </r>
    <r>
      <rPr>
        <b/>
        <sz val="10"/>
        <rFont val="Arial"/>
        <family val="2"/>
      </rPr>
      <t>Demography</t>
    </r>
    <r>
      <rPr>
        <sz val="10"/>
        <rFont val="Arial"/>
        <family val="2"/>
      </rPr>
      <t>' worksheet includes age, gender, side of hemianopic loss, visual acuity, presence or absence of macular sparing and fixation instability in degrees for patients enrolled in the study.</t>
    </r>
  </si>
  <si>
    <r>
      <t>The '</t>
    </r>
    <r>
      <rPr>
        <b/>
        <sz val="10"/>
        <rFont val="Arial"/>
        <family val="2"/>
      </rPr>
      <t>Visit count'</t>
    </r>
    <r>
      <rPr>
        <sz val="10"/>
        <rFont val="Arial"/>
        <family val="2"/>
      </rPr>
      <t xml:space="preserve"> worksheet reflects the dates patients attended each visit, attrition data and the amount of time each patient spent in the study.</t>
    </r>
  </si>
  <si>
    <r>
      <t>The '</t>
    </r>
    <r>
      <rPr>
        <b/>
        <sz val="10"/>
        <rFont val="Arial"/>
        <family val="2"/>
      </rPr>
      <t>Visit 1 - Neglect'</t>
    </r>
    <r>
      <rPr>
        <sz val="10"/>
        <rFont val="Arial"/>
        <family val="2"/>
      </rPr>
      <t xml:space="preserve"> worksheet shows test scores for the Line Bisection and Bells Test neglect tests and the Mini-Mental State Exam. Embedded criteria equations are used to indicate "passing" scores on each test and eligibility for study inclusion.</t>
    </r>
  </si>
  <si>
    <r>
      <t>The '</t>
    </r>
    <r>
      <rPr>
        <b/>
        <sz val="10"/>
        <rFont val="Arial"/>
        <family val="2"/>
      </rPr>
      <t>Visit 1 - NEI-VFQ Qs'</t>
    </r>
    <r>
      <rPr>
        <sz val="10"/>
        <rFont val="Arial"/>
        <family val="2"/>
      </rPr>
      <t xml:space="preserve"> worksheet shows the raw and Rasch transformed baseline scores (before fitting of the peripheral prism glasses). </t>
    </r>
  </si>
  <si>
    <r>
      <t>The '</t>
    </r>
    <r>
      <rPr>
        <b/>
        <sz val="10"/>
        <rFont val="Arial"/>
        <family val="2"/>
      </rPr>
      <t>Visit 1 - Indep Mobility Qs'</t>
    </r>
    <r>
      <rPr>
        <sz val="10"/>
        <rFont val="Arial"/>
        <family val="2"/>
      </rPr>
      <t xml:space="preserve"> worksheet shows the raw and Rasch transformed baseline scores (before fitting of the peripheral prism glasses). </t>
    </r>
  </si>
  <si>
    <r>
      <t>The '</t>
    </r>
    <r>
      <rPr>
        <b/>
        <sz val="10"/>
        <rFont val="Arial"/>
        <family val="2"/>
      </rPr>
      <t>Visit 2'</t>
    </r>
    <r>
      <rPr>
        <sz val="10"/>
        <rFont val="Arial"/>
        <family val="2"/>
      </rPr>
      <t xml:space="preserve"> worksheet reports the date of visit for the upper prism fitting and the field expansion observed for the prism on Goldmann perimetry. Visual direction results are also reported.</t>
    </r>
  </si>
  <si>
    <r>
      <t>The '</t>
    </r>
    <r>
      <rPr>
        <b/>
        <sz val="10"/>
        <rFont val="Arial"/>
        <family val="2"/>
      </rPr>
      <t>Visit 3'</t>
    </r>
    <r>
      <rPr>
        <sz val="10"/>
        <rFont val="Arial"/>
        <family val="2"/>
      </rPr>
      <t xml:space="preserve"> worksheet reports the date of visit for the lower prism fitting and the field expansion observed for the prism on Goldmann perimetry. Visual direction results are also reported.</t>
    </r>
  </si>
  <si>
    <r>
      <t>The '</t>
    </r>
    <r>
      <rPr>
        <b/>
        <sz val="10"/>
        <rFont val="Arial"/>
        <family val="2"/>
      </rPr>
      <t>Visit 4'</t>
    </r>
    <r>
      <rPr>
        <sz val="10"/>
        <rFont val="Arial"/>
        <family val="2"/>
      </rPr>
      <t xml:space="preserve"> worksheet reports the date of visit and the results of visual direction testing.</t>
    </r>
  </si>
  <si>
    <r>
      <t>The '</t>
    </r>
    <r>
      <rPr>
        <b/>
        <sz val="10"/>
        <rFont val="Arial"/>
        <family val="2"/>
      </rPr>
      <t>Visit 5'</t>
    </r>
    <r>
      <rPr>
        <sz val="10"/>
        <rFont val="Arial"/>
        <family val="2"/>
      </rPr>
      <t xml:space="preserve"> worksheet reports the date of the final visit for the lower prism fitting and the field expansion observed for the prism on Goldmann perimetry. Visual direction results are also reported.</t>
    </r>
  </si>
  <si>
    <r>
      <t>The '</t>
    </r>
    <r>
      <rPr>
        <b/>
        <sz val="10"/>
        <rFont val="Arial"/>
        <family val="2"/>
      </rPr>
      <t>Wearing Times'</t>
    </r>
    <r>
      <rPr>
        <sz val="10"/>
        <rFont val="Arial"/>
        <family val="2"/>
      </rPr>
      <t xml:space="preserve"> worksheet reports self-reported wearing time data in hours per day, between visits and for the duration of the patients time in the study.</t>
    </r>
  </si>
  <si>
    <r>
      <t>The '</t>
    </r>
    <r>
      <rPr>
        <b/>
        <sz val="10"/>
        <rFont val="Arial"/>
        <family val="2"/>
      </rPr>
      <t>Visit 5 - Indep Mobility Qs'</t>
    </r>
    <r>
      <rPr>
        <sz val="10"/>
        <rFont val="Arial"/>
        <family val="2"/>
      </rPr>
      <t xml:space="preserve"> worksheet shows the raw and Rasch transformed post-study scores for the Independent Mobility Questionnaire.</t>
    </r>
  </si>
  <si>
    <r>
      <t xml:space="preserve">Clinical and Laboratory Evaluation of Peripheral Prism Glasses for Hemianopia
</t>
    </r>
    <r>
      <rPr>
        <i/>
        <sz val="10"/>
        <rFont val="Helv"/>
        <family val="0"/>
      </rPr>
      <t>by</t>
    </r>
    <r>
      <rPr>
        <sz val="10"/>
        <rFont val="Helv"/>
        <family val="0"/>
      </rPr>
      <t xml:space="preserve"> Robert G. Giorgi, MSc, Russell L. Woods, PhD, MCOptom, FAAO, and Eli Peli, OD, MSc,FAAO
Submitted to </t>
    </r>
    <r>
      <rPr>
        <i/>
        <sz val="10"/>
        <rFont val="Helv"/>
        <family val="0"/>
      </rPr>
      <t>Optometry and Vision Science</t>
    </r>
    <r>
      <rPr>
        <sz val="10"/>
        <rFont val="Helv"/>
        <family val="0"/>
      </rPr>
      <t>, August 29, 2008</t>
    </r>
  </si>
  <si>
    <r>
      <t>The '</t>
    </r>
    <r>
      <rPr>
        <b/>
        <sz val="10"/>
        <rFont val="Arial"/>
        <family val="2"/>
      </rPr>
      <t>Visit 5 - NEI-VFQ Qs'</t>
    </r>
    <r>
      <rPr>
        <sz val="10"/>
        <rFont val="Arial"/>
        <family val="2"/>
      </rPr>
      <t xml:space="preserve"> worksheet shows the raw and Rasch transformed post-study responses to the National Eye Institute Visual Functioning questionnaire.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</si>
</sst>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m/d"/>
    <numFmt numFmtId="170" formatCode="0.0000000"/>
    <numFmt numFmtId="171" formatCode="mm/dd/yy"/>
    <numFmt numFmtId="172" formatCode="mmm\-yyyy"/>
    <numFmt numFmtId="173" formatCode="00000"/>
    <numFmt numFmtId="174" formatCode="dd\-mmm\-yyyy"/>
    <numFmt numFmtId="175" formatCode="dd/m/yyyy"/>
    <numFmt numFmtId="176" formatCode="mmmm\ d\,\ yyyy"/>
    <numFmt numFmtId="177" formatCode="0.00000000"/>
    <numFmt numFmtId="178" formatCode="#,##0.0"/>
    <numFmt numFmtId="179" formatCode="d\-mmm\-yyyy"/>
    <numFmt numFmtId="180" formatCode="[$-409]dddd\,\ mmmm\ dd\,\ yyyy"/>
    <numFmt numFmtId="181" formatCode="m/d/yy;@"/>
    <numFmt numFmtId="182" formatCode="0.0000000000"/>
    <numFmt numFmtId="183" formatCode="m/d/yy"/>
    <numFmt numFmtId="184" formatCode="0.00_);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\-yy;@"/>
  </numFmts>
  <fonts count="2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9"/>
      <name val="Geneva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9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  <font>
      <sz val="10"/>
      <name val="Tahoma"/>
      <family val="0"/>
    </font>
    <font>
      <sz val="8"/>
      <name val="Helv"/>
      <family val="0"/>
    </font>
    <font>
      <b/>
      <sz val="9"/>
      <name val="Arial"/>
      <family val="2"/>
    </font>
    <font>
      <sz val="10"/>
      <name val="Helv"/>
      <family val="0"/>
    </font>
    <font>
      <i/>
      <sz val="10"/>
      <name val="Helv"/>
      <family val="0"/>
    </font>
    <font>
      <b/>
      <sz val="12"/>
      <name val="Helv"/>
      <family val="0"/>
    </font>
    <font>
      <sz val="11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8"/>
      <name val="Helv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5" fontId="10" fillId="0" borderId="1" xfId="0" applyNumberFormat="1" applyFont="1" applyBorder="1" applyAlignment="1">
      <alignment horizontal="center"/>
    </xf>
    <xf numFmtId="168" fontId="10" fillId="0" borderId="0" xfId="0" applyNumberFormat="1" applyFont="1" applyFill="1" applyAlignment="1">
      <alignment horizontal="center"/>
    </xf>
    <xf numFmtId="0" fontId="10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10" fillId="4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15" fontId="1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0" fillId="0" borderId="2" xfId="0" applyFont="1" applyFill="1" applyBorder="1" applyAlignment="1">
      <alignment horizontal="center"/>
    </xf>
    <xf numFmtId="168" fontId="10" fillId="0" borderId="0" xfId="0" applyNumberFormat="1" applyFont="1" applyAlignment="1">
      <alignment horizont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" fontId="13" fillId="6" borderId="3" xfId="0" applyNumberFormat="1" applyFont="1" applyFill="1" applyBorder="1" applyAlignment="1">
      <alignment horizontal="center" vertical="center" wrapText="1"/>
    </xf>
    <xf numFmtId="1" fontId="13" fillId="7" borderId="3" xfId="0" applyNumberFormat="1" applyFont="1" applyFill="1" applyBorder="1" applyAlignment="1">
      <alignment horizontal="center" vertical="center" wrapText="1"/>
    </xf>
    <xf numFmtId="0" fontId="14" fillId="8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3" fillId="6" borderId="5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13" fillId="9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68" fontId="22" fillId="0" borderId="0" xfId="0" applyNumberFormat="1" applyFont="1" applyFill="1" applyAlignment="1">
      <alignment horizontal="center"/>
    </xf>
    <xf numFmtId="168" fontId="22" fillId="0" borderId="0" xfId="0" applyNumberFormat="1" applyFont="1" applyAlignment="1">
      <alignment horizontal="center"/>
    </xf>
    <xf numFmtId="0" fontId="11" fillId="8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1" fillId="0" borderId="0" xfId="0" applyFont="1" applyFill="1" applyAlignment="1">
      <alignment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4" borderId="0" xfId="0" applyFont="1" applyFill="1" applyAlignment="1">
      <alignment vertical="center"/>
    </xf>
    <xf numFmtId="0" fontId="22" fillId="0" borderId="0" xfId="0" applyFont="1" applyAlignment="1">
      <alignment horizontal="center" vertical="top"/>
    </xf>
    <xf numFmtId="0" fontId="23" fillId="11" borderId="3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10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23" fillId="5" borderId="3" xfId="0" applyFont="1" applyFill="1" applyBorder="1" applyAlignment="1">
      <alignment horizontal="center" vertical="top" wrapText="1"/>
    </xf>
    <xf numFmtId="0" fontId="13" fillId="8" borderId="3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3" fillId="4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3" fillId="6" borderId="3" xfId="0" applyFont="1" applyFill="1" applyBorder="1" applyAlignment="1">
      <alignment horizontal="center" vertical="center" wrapText="1"/>
    </xf>
    <xf numFmtId="2" fontId="13" fillId="6" borderId="3" xfId="0" applyNumberFormat="1" applyFont="1" applyFill="1" applyBorder="1" applyAlignment="1">
      <alignment horizontal="center" vertical="center" wrapText="1"/>
    </xf>
    <xf numFmtId="1" fontId="13" fillId="6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8" borderId="5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8" fontId="10" fillId="0" borderId="7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174" fontId="1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/>
    </xf>
    <xf numFmtId="1" fontId="11" fillId="10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5" fontId="10" fillId="0" borderId="0" xfId="0" applyNumberFormat="1" applyFont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1" fillId="6" borderId="3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1" fontId="1" fillId="7" borderId="3" xfId="0" applyNumberFormat="1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/>
    </xf>
    <xf numFmtId="0" fontId="23" fillId="10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15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13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13" borderId="33" xfId="0" applyFont="1" applyFill="1" applyBorder="1" applyAlignment="1">
      <alignment horizontal="left" vertical="center"/>
    </xf>
    <xf numFmtId="0" fontId="10" fillId="13" borderId="34" xfId="0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 wrapText="1"/>
    </xf>
    <xf numFmtId="168" fontId="22" fillId="0" borderId="7" xfId="0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3" fillId="11" borderId="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9" borderId="33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right"/>
    </xf>
    <xf numFmtId="0" fontId="11" fillId="9" borderId="21" xfId="0" applyFont="1" applyFill="1" applyBorder="1" applyAlignment="1">
      <alignment horizontal="right"/>
    </xf>
    <xf numFmtId="168" fontId="10" fillId="0" borderId="13" xfId="0" applyNumberFormat="1" applyFont="1" applyFill="1" applyBorder="1" applyAlignment="1">
      <alignment horizontal="center"/>
    </xf>
    <xf numFmtId="168" fontId="10" fillId="0" borderId="17" xfId="0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168" fontId="10" fillId="0" borderId="8" xfId="0" applyNumberFormat="1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 vertical="top" wrapText="1"/>
    </xf>
    <xf numFmtId="0" fontId="13" fillId="10" borderId="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4" borderId="1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/>
    </xf>
    <xf numFmtId="1" fontId="11" fillId="9" borderId="28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4" fillId="4" borderId="0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13" fillId="6" borderId="5" xfId="0" applyNumberFormat="1" applyFont="1" applyFill="1" applyBorder="1" applyAlignment="1">
      <alignment horizontal="center" vertical="center" wrapText="1"/>
    </xf>
    <xf numFmtId="2" fontId="10" fillId="9" borderId="31" xfId="0" applyNumberFormat="1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/>
    </xf>
    <xf numFmtId="0" fontId="11" fillId="9" borderId="3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22" fillId="14" borderId="2" xfId="0" applyFont="1" applyFill="1" applyBorder="1" applyAlignment="1">
      <alignment horizontal="center"/>
    </xf>
    <xf numFmtId="0" fontId="23" fillId="9" borderId="33" xfId="0" applyFont="1" applyFill="1" applyBorder="1" applyAlignment="1">
      <alignment horizontal="right"/>
    </xf>
    <xf numFmtId="0" fontId="22" fillId="0" borderId="31" xfId="0" applyFont="1" applyFill="1" applyBorder="1" applyAlignment="1">
      <alignment horizontal="center"/>
    </xf>
    <xf numFmtId="0" fontId="23" fillId="9" borderId="12" xfId="0" applyFont="1" applyFill="1" applyBorder="1" applyAlignment="1">
      <alignment horizontal="right"/>
    </xf>
    <xf numFmtId="0" fontId="23" fillId="9" borderId="35" xfId="0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1" fontId="22" fillId="0" borderId="41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0" fontId="23" fillId="9" borderId="21" xfId="0" applyFont="1" applyFill="1" applyBorder="1" applyAlignment="1">
      <alignment horizontal="right"/>
    </xf>
    <xf numFmtId="1" fontId="22" fillId="0" borderId="17" xfId="0" applyNumberFormat="1" applyFont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0" fillId="14" borderId="0" xfId="0" applyFont="1" applyFill="1" applyAlignment="1">
      <alignment horizontal="center"/>
    </xf>
    <xf numFmtId="168" fontId="26" fillId="0" borderId="0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89" fontId="10" fillId="0" borderId="4" xfId="0" applyNumberFormat="1" applyFont="1" applyBorder="1" applyAlignment="1">
      <alignment horizontal="center"/>
    </xf>
    <xf numFmtId="189" fontId="10" fillId="0" borderId="1" xfId="0" applyNumberFormat="1" applyFont="1" applyBorder="1" applyAlignment="1">
      <alignment horizontal="center"/>
    </xf>
    <xf numFmtId="189" fontId="10" fillId="0" borderId="1" xfId="0" applyNumberFormat="1" applyFont="1" applyFill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189" fontId="10" fillId="0" borderId="8" xfId="0" applyNumberFormat="1" applyFont="1" applyBorder="1" applyAlignment="1">
      <alignment horizontal="center"/>
    </xf>
    <xf numFmtId="189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9" fontId="10" fillId="0" borderId="0" xfId="0" applyNumberFormat="1" applyFont="1" applyFill="1" applyAlignment="1">
      <alignment horizontal="center" vertical="center"/>
    </xf>
    <xf numFmtId="189" fontId="10" fillId="0" borderId="1" xfId="0" applyNumberFormat="1" applyFont="1" applyFill="1" applyBorder="1" applyAlignment="1">
      <alignment horizontal="center" vertical="center"/>
    </xf>
    <xf numFmtId="189" fontId="11" fillId="0" borderId="1" xfId="0" applyNumberFormat="1" applyFont="1" applyFill="1" applyBorder="1" applyAlignment="1">
      <alignment horizontal="center" vertical="center"/>
    </xf>
    <xf numFmtId="189" fontId="10" fillId="0" borderId="8" xfId="0" applyNumberFormat="1" applyFont="1" applyFill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2" fontId="22" fillId="0" borderId="21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168" fontId="22" fillId="0" borderId="16" xfId="0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168" fontId="0" fillId="0" borderId="13" xfId="0" applyNumberFormat="1" applyFill="1" applyBorder="1" applyAlignment="1">
      <alignment horizontal="center" vertical="center"/>
    </xf>
    <xf numFmtId="189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1" fontId="11" fillId="9" borderId="42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1" fontId="11" fillId="9" borderId="38" xfId="0" applyNumberFormat="1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0" fontId="11" fillId="9" borderId="4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 wrapText="1"/>
    </xf>
    <xf numFmtId="1" fontId="13" fillId="7" borderId="5" xfId="0" applyNumberFormat="1" applyFont="1" applyFill="1" applyBorder="1" applyAlignment="1">
      <alignment horizontal="center" vertical="center" wrapText="1"/>
    </xf>
    <xf numFmtId="1" fontId="13" fillId="7" borderId="10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0" fillId="14" borderId="0" xfId="0" applyFont="1" applyFill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11" fillId="9" borderId="34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2" fontId="11" fillId="9" borderId="38" xfId="0" applyNumberFormat="1" applyFont="1" applyFill="1" applyBorder="1" applyAlignment="1">
      <alignment horizontal="center" vertical="center" wrapText="1"/>
    </xf>
    <xf numFmtId="2" fontId="11" fillId="9" borderId="42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23" fillId="5" borderId="5" xfId="0" applyFont="1" applyFill="1" applyBorder="1" applyAlignment="1">
      <alignment horizontal="left" vertical="center" wrapText="1"/>
    </xf>
    <xf numFmtId="0" fontId="22" fillId="5" borderId="43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left" vertical="center" wrapText="1"/>
    </xf>
    <xf numFmtId="0" fontId="23" fillId="10" borderId="43" xfId="0" applyFont="1" applyFill="1" applyBorder="1" applyAlignment="1">
      <alignment horizontal="left" vertical="center" wrapText="1"/>
    </xf>
    <xf numFmtId="0" fontId="23" fillId="10" borderId="10" xfId="0" applyFont="1" applyFill="1" applyBorder="1" applyAlignment="1">
      <alignment horizontal="left" vertical="center" wrapText="1"/>
    </xf>
    <xf numFmtId="0" fontId="23" fillId="11" borderId="5" xfId="0" applyFont="1" applyFill="1" applyBorder="1" applyAlignment="1">
      <alignment horizontal="left" vertical="center" wrapText="1"/>
    </xf>
    <xf numFmtId="0" fontId="22" fillId="11" borderId="43" xfId="0" applyFont="1" applyFill="1" applyBorder="1" applyAlignment="1">
      <alignment horizontal="left" vertical="center" wrapText="1"/>
    </xf>
    <xf numFmtId="0" fontId="22" fillId="11" borderId="10" xfId="0" applyFont="1" applyFill="1" applyBorder="1" applyAlignment="1">
      <alignment horizontal="left" vertical="center" wrapText="1"/>
    </xf>
    <xf numFmtId="0" fontId="23" fillId="6" borderId="3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left" vertical="center" wrapText="1"/>
    </xf>
    <xf numFmtId="0" fontId="25" fillId="4" borderId="43" xfId="0" applyFont="1" applyFill="1" applyBorder="1" applyAlignment="1">
      <alignment horizontal="left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/>
    </xf>
    <xf numFmtId="0" fontId="11" fillId="9" borderId="31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1" fillId="15" borderId="3" xfId="0" applyFont="1" applyFill="1" applyBorder="1" applyAlignment="1">
      <alignment horizontal="center" vertical="center" wrapText="1"/>
    </xf>
    <xf numFmtId="1" fontId="11" fillId="10" borderId="3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1" fontId="11" fillId="15" borderId="3" xfId="0" applyNumberFormat="1" applyFont="1" applyFill="1" applyBorder="1" applyAlignment="1">
      <alignment horizontal="center" vertical="center" wrapText="1"/>
    </xf>
    <xf numFmtId="1" fontId="11" fillId="15" borderId="5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1" fontId="13" fillId="5" borderId="4" xfId="0" applyNumberFormat="1" applyFont="1" applyFill="1" applyBorder="1" applyAlignment="1">
      <alignment horizontal="center" vertical="center"/>
    </xf>
    <xf numFmtId="1" fontId="13" fillId="5" borderId="6" xfId="0" applyNumberFormat="1" applyFont="1" applyFill="1" applyBorder="1" applyAlignment="1">
      <alignment horizontal="center" vertical="center"/>
    </xf>
    <xf numFmtId="1" fontId="13" fillId="5" borderId="26" xfId="0" applyNumberFormat="1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3" fillId="9" borderId="44" xfId="0" applyFont="1" applyFill="1" applyBorder="1" applyAlignment="1">
      <alignment horizontal="center" vertical="center" wrapText="1"/>
    </xf>
    <xf numFmtId="0" fontId="13" fillId="9" borderId="35" xfId="0" applyFont="1" applyFill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/>
    </xf>
    <xf numFmtId="0" fontId="1" fillId="9" borderId="46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1" fontId="21" fillId="5" borderId="47" xfId="0" applyNumberFormat="1" applyFont="1" applyFill="1" applyBorder="1" applyAlignment="1">
      <alignment horizontal="center" vertical="center"/>
    </xf>
    <xf numFmtId="1" fontId="21" fillId="5" borderId="34" xfId="0" applyNumberFormat="1" applyFont="1" applyFill="1" applyBorder="1" applyAlignment="1">
      <alignment horizontal="center" vertical="center"/>
    </xf>
    <xf numFmtId="1" fontId="21" fillId="5" borderId="31" xfId="0" applyNumberFormat="1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4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23" fillId="11" borderId="0" xfId="0" applyFont="1" applyFill="1" applyAlignment="1">
      <alignment horizontal="center" vertical="center" wrapText="1"/>
    </xf>
    <xf numFmtId="0" fontId="22" fillId="5" borderId="10" xfId="0" applyFont="1" applyFill="1" applyBorder="1" applyAlignment="1">
      <alignment horizontal="left" vertical="center" wrapText="1"/>
    </xf>
    <xf numFmtId="0" fontId="23" fillId="6" borderId="5" xfId="0" applyFont="1" applyFill="1" applyBorder="1" applyAlignment="1">
      <alignment horizontal="left" vertical="center" wrapText="1"/>
    </xf>
    <xf numFmtId="0" fontId="23" fillId="6" borderId="43" xfId="0" applyFont="1" applyFill="1" applyBorder="1" applyAlignment="1">
      <alignment horizontal="left" vertical="center" wrapText="1"/>
    </xf>
    <xf numFmtId="0" fontId="23" fillId="6" borderId="10" xfId="0" applyFont="1" applyFill="1" applyBorder="1" applyAlignment="1">
      <alignment horizontal="left" vertical="center" wrapText="1"/>
    </xf>
    <xf numFmtId="0" fontId="23" fillId="10" borderId="8" xfId="0" applyFont="1" applyFill="1" applyBorder="1" applyAlignment="1">
      <alignment horizontal="left" vertical="center" wrapText="1"/>
    </xf>
    <xf numFmtId="0" fontId="23" fillId="10" borderId="7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left" vertical="center" wrapText="1"/>
    </xf>
    <xf numFmtId="0" fontId="23" fillId="11" borderId="3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left" vertical="center" wrapText="1"/>
    </xf>
    <xf numFmtId="0" fontId="11" fillId="9" borderId="49" xfId="0" applyFont="1" applyFill="1" applyBorder="1" applyAlignment="1">
      <alignment horizontal="center" vertical="center" wrapText="1"/>
    </xf>
    <xf numFmtId="0" fontId="11" fillId="9" borderId="48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0" fillId="14" borderId="0" xfId="0" applyFont="1" applyFill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1" fontId="11" fillId="13" borderId="3" xfId="0" applyNumberFormat="1" applyFont="1" applyFill="1" applyBorder="1" applyAlignment="1">
      <alignment horizontal="center" vertical="center" wrapText="1"/>
    </xf>
    <xf numFmtId="0" fontId="11" fillId="16" borderId="50" xfId="0" applyFont="1" applyFill="1" applyBorder="1" applyAlignment="1">
      <alignment horizontal="center" vertical="center" wrapText="1"/>
    </xf>
    <xf numFmtId="0" fontId="11" fillId="16" borderId="51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 wrapText="1"/>
    </xf>
    <xf numFmtId="1" fontId="11" fillId="9" borderId="50" xfId="0" applyNumberFormat="1" applyFont="1" applyFill="1" applyBorder="1" applyAlignment="1">
      <alignment horizontal="center" vertical="center" wrapText="1"/>
    </xf>
    <xf numFmtId="1" fontId="11" fillId="9" borderId="5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 topLeftCell="A1">
      <selection activeCell="A11" sqref="A11"/>
    </sheetView>
  </sheetViews>
  <sheetFormatPr defaultColWidth="9.140625" defaultRowHeight="12"/>
  <cols>
    <col min="1" max="1" width="81.28125" style="0" customWidth="1"/>
  </cols>
  <sheetData>
    <row r="1" ht="19.5" customHeight="1">
      <c r="A1" s="23" t="s">
        <v>99</v>
      </c>
    </row>
    <row r="2" ht="51" customHeight="1">
      <c r="A2" s="24" t="s">
        <v>352</v>
      </c>
    </row>
    <row r="3" ht="40.5" customHeight="1">
      <c r="A3" s="355" t="s">
        <v>341</v>
      </c>
    </row>
    <row r="4" ht="30" customHeight="1">
      <c r="A4" s="355" t="s">
        <v>342</v>
      </c>
    </row>
    <row r="5" ht="51">
      <c r="A5" s="355" t="s">
        <v>343</v>
      </c>
    </row>
    <row r="6" ht="25.5">
      <c r="A6" s="355" t="s">
        <v>344</v>
      </c>
    </row>
    <row r="7" ht="25.5">
      <c r="A7" s="355" t="s">
        <v>345</v>
      </c>
    </row>
    <row r="8" ht="38.25">
      <c r="A8" s="355" t="s">
        <v>346</v>
      </c>
    </row>
    <row r="9" ht="38.25">
      <c r="A9" s="355" t="s">
        <v>347</v>
      </c>
    </row>
    <row r="10" ht="25.5">
      <c r="A10" s="355" t="s">
        <v>348</v>
      </c>
    </row>
    <row r="11" ht="38.25">
      <c r="A11" s="355" t="s">
        <v>349</v>
      </c>
    </row>
    <row r="12" ht="25.5">
      <c r="A12" s="355" t="s">
        <v>350</v>
      </c>
    </row>
    <row r="13" ht="26.25" customHeight="1">
      <c r="A13" s="355" t="s">
        <v>353</v>
      </c>
    </row>
    <row r="14" ht="25.5">
      <c r="A14" s="355" t="s">
        <v>351</v>
      </c>
    </row>
    <row r="23" ht="10.5">
      <c r="A23" s="22" t="s">
        <v>253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24" sqref="S24"/>
    </sheetView>
  </sheetViews>
  <sheetFormatPr defaultColWidth="9.140625" defaultRowHeight="12"/>
  <cols>
    <col min="1" max="1" width="28.421875" style="1" customWidth="1"/>
    <col min="2" max="2" width="14.421875" style="1" customWidth="1"/>
    <col min="3" max="15" width="12.00390625" style="1" customWidth="1"/>
    <col min="16" max="16" width="14.421875" style="1" customWidth="1"/>
    <col min="17" max="17" width="14.7109375" style="1" customWidth="1"/>
    <col min="18" max="18" width="16.140625" style="1" customWidth="1"/>
    <col min="19" max="19" width="15.28125" style="1" customWidth="1"/>
    <col min="20" max="20" width="16.8515625" style="1" customWidth="1"/>
    <col min="21" max="21" width="17.140625" style="1" customWidth="1"/>
    <col min="22" max="22" width="15.28125" style="1" customWidth="1"/>
    <col min="23" max="23" width="10.140625" style="1" customWidth="1"/>
    <col min="24" max="24" width="9.8515625" style="1" customWidth="1"/>
    <col min="25" max="25" width="17.28125" style="1" customWidth="1"/>
    <col min="26" max="26" width="12.00390625" style="1" customWidth="1"/>
    <col min="27" max="27" width="13.28125" style="1" customWidth="1"/>
    <col min="28" max="28" width="11.421875" style="1" customWidth="1"/>
    <col min="29" max="29" width="16.28125" style="1" customWidth="1"/>
    <col min="30" max="36" width="12.00390625" style="1" customWidth="1"/>
    <col min="37" max="16384" width="12.00390625" style="4" customWidth="1"/>
  </cols>
  <sheetData>
    <row r="1" spans="1:56" s="105" customFormat="1" ht="42" customHeight="1">
      <c r="A1" s="430" t="s">
        <v>118</v>
      </c>
      <c r="B1" s="442" t="s">
        <v>60</v>
      </c>
      <c r="C1" s="442"/>
      <c r="D1" s="442"/>
      <c r="E1" s="442"/>
      <c r="F1" s="450"/>
      <c r="G1" s="220"/>
      <c r="H1" s="446" t="s">
        <v>91</v>
      </c>
      <c r="I1" s="446"/>
      <c r="J1" s="446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4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</row>
    <row r="2" spans="1:56" s="109" customFormat="1" ht="46.5" customHeight="1">
      <c r="A2" s="431"/>
      <c r="B2" s="442"/>
      <c r="C2" s="442"/>
      <c r="D2" s="442"/>
      <c r="E2" s="442"/>
      <c r="F2" s="450"/>
      <c r="G2" s="418" t="s">
        <v>296</v>
      </c>
      <c r="H2" s="444"/>
      <c r="I2" s="444"/>
      <c r="J2" s="444"/>
      <c r="K2" s="444"/>
      <c r="L2" s="444"/>
      <c r="M2" s="447" t="s">
        <v>297</v>
      </c>
      <c r="N2" s="448"/>
      <c r="O2" s="448"/>
      <c r="P2" s="418" t="s">
        <v>298</v>
      </c>
      <c r="Q2" s="418" t="s">
        <v>299</v>
      </c>
      <c r="R2" s="449" t="s">
        <v>317</v>
      </c>
      <c r="S2" s="454" t="s">
        <v>334</v>
      </c>
      <c r="T2" s="454"/>
      <c r="U2" s="454"/>
      <c r="V2" s="454"/>
      <c r="W2" s="444" t="s">
        <v>85</v>
      </c>
      <c r="X2" s="445"/>
      <c r="Y2" s="445"/>
      <c r="Z2" s="445"/>
      <c r="AA2" s="443" t="s">
        <v>84</v>
      </c>
      <c r="AB2" s="443"/>
      <c r="AC2" s="443"/>
      <c r="AD2" s="224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</row>
    <row r="3" spans="1:56" s="72" customFormat="1" ht="51">
      <c r="A3" s="71" t="s">
        <v>55</v>
      </c>
      <c r="B3" s="152" t="s">
        <v>256</v>
      </c>
      <c r="C3" s="58" t="s">
        <v>148</v>
      </c>
      <c r="D3" s="58" t="s">
        <v>150</v>
      </c>
      <c r="E3" s="58" t="s">
        <v>149</v>
      </c>
      <c r="F3" s="141" t="s">
        <v>151</v>
      </c>
      <c r="G3" s="152" t="s">
        <v>15</v>
      </c>
      <c r="H3" s="152" t="s">
        <v>42</v>
      </c>
      <c r="I3" s="152" t="s">
        <v>17</v>
      </c>
      <c r="J3" s="152" t="s">
        <v>42</v>
      </c>
      <c r="K3" s="152" t="s">
        <v>16</v>
      </c>
      <c r="L3" s="152" t="s">
        <v>42</v>
      </c>
      <c r="M3" s="222" t="s">
        <v>41</v>
      </c>
      <c r="N3" s="222" t="s">
        <v>5</v>
      </c>
      <c r="O3" s="222" t="s">
        <v>4</v>
      </c>
      <c r="P3" s="418"/>
      <c r="Q3" s="418"/>
      <c r="R3" s="449"/>
      <c r="S3" s="230" t="s">
        <v>98</v>
      </c>
      <c r="T3" s="230" t="s">
        <v>30</v>
      </c>
      <c r="U3" s="230" t="s">
        <v>31</v>
      </c>
      <c r="V3" s="230" t="s">
        <v>32</v>
      </c>
      <c r="W3" s="152" t="s">
        <v>261</v>
      </c>
      <c r="X3" s="152" t="s">
        <v>262</v>
      </c>
      <c r="Y3" s="152" t="s">
        <v>263</v>
      </c>
      <c r="Z3" s="152" t="s">
        <v>267</v>
      </c>
      <c r="AA3" s="225" t="s">
        <v>262</v>
      </c>
      <c r="AB3" s="225" t="s">
        <v>266</v>
      </c>
      <c r="AC3" s="225" t="s">
        <v>267</v>
      </c>
      <c r="AD3" s="224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</row>
    <row r="4" spans="1:56" ht="12.75">
      <c r="A4" s="4">
        <f>IF(Demography!A3="","",Demography!A3)</f>
        <v>970</v>
      </c>
      <c r="B4" s="329">
        <v>35972</v>
      </c>
      <c r="C4" s="8">
        <f>IF(B4="","",B4-'Visit 1 - Neglect'!B3)</f>
        <v>76</v>
      </c>
      <c r="D4" s="8">
        <f aca="true" t="shared" si="0" ref="D4:D26">IF(C4="","",C4/7)</f>
        <v>10.857142857142858</v>
      </c>
      <c r="E4" s="1">
        <f>IF(B4="","",B4-'Visit 2'!B4)</f>
        <v>57</v>
      </c>
      <c r="F4" s="8">
        <f aca="true" t="shared" si="1" ref="F4:F26">IF(E4="","",E4/7)</f>
        <v>8.142857142857142</v>
      </c>
      <c r="G4" s="37">
        <v>40</v>
      </c>
      <c r="H4" s="107">
        <v>3</v>
      </c>
      <c r="I4" s="107">
        <v>50</v>
      </c>
      <c r="J4" s="107">
        <v>-1</v>
      </c>
      <c r="K4" s="107">
        <v>30</v>
      </c>
      <c r="L4" s="107">
        <v>0</v>
      </c>
      <c r="M4" s="254">
        <f aca="true" t="shared" si="2" ref="M4:M26">IF(G4="","",LOG10(G4/20)-H4*(0.1/5)+LOG10(2/3))</f>
        <v>0.06493873660829994</v>
      </c>
      <c r="N4" s="146">
        <f aca="true" t="shared" si="3" ref="N4:N26">IF(I4="","",LOG10(I4/20)-J4*(0.1/5)+LOG10(2/3))</f>
        <v>0.24184874961635636</v>
      </c>
      <c r="O4" s="146">
        <f>IF(K4="","",LOG10(K4/20)-L4*(0.1/5)+LOG10(2/3))</f>
        <v>-2.7755575615628914E-17</v>
      </c>
      <c r="P4" s="146">
        <f>Demography!$P$3</f>
        <v>0.019999999999999962</v>
      </c>
      <c r="Q4" s="146">
        <f>P4-O4</f>
        <v>0.01999999999999999</v>
      </c>
      <c r="R4" s="123" t="s">
        <v>51</v>
      </c>
      <c r="S4" s="36" t="s">
        <v>19</v>
      </c>
      <c r="T4" s="107" t="s">
        <v>19</v>
      </c>
      <c r="U4" s="107" t="s">
        <v>19</v>
      </c>
      <c r="V4" s="107" t="s">
        <v>19</v>
      </c>
      <c r="W4" s="1">
        <v>1</v>
      </c>
      <c r="X4" s="1">
        <v>0</v>
      </c>
      <c r="Y4" s="1">
        <v>0</v>
      </c>
      <c r="Z4" s="1">
        <v>0</v>
      </c>
      <c r="AA4" s="1">
        <v>0</v>
      </c>
      <c r="AB4" s="1">
        <v>1</v>
      </c>
      <c r="AC4" s="1">
        <v>0</v>
      </c>
      <c r="AD4" s="224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</row>
    <row r="5" spans="1:56" ht="12.75">
      <c r="A5" s="4">
        <f>IF(Demography!A4="","",Demography!A4)</f>
        <v>979</v>
      </c>
      <c r="B5" s="329">
        <v>36022</v>
      </c>
      <c r="C5" s="8">
        <f>IF(B5="","",B5-'Visit 1 - Neglect'!B4)</f>
        <v>67</v>
      </c>
      <c r="D5" s="8">
        <f t="shared" si="0"/>
        <v>9.571428571428571</v>
      </c>
      <c r="E5" s="1">
        <f>IF(B5="","",B5-'Visit 2'!B5)</f>
        <v>58</v>
      </c>
      <c r="F5" s="8">
        <f t="shared" si="1"/>
        <v>8.285714285714286</v>
      </c>
      <c r="G5" s="36">
        <v>40</v>
      </c>
      <c r="H5" s="107">
        <v>-1</v>
      </c>
      <c r="I5" s="107">
        <v>25</v>
      </c>
      <c r="J5" s="107">
        <v>-2</v>
      </c>
      <c r="K5" s="107">
        <v>20</v>
      </c>
      <c r="L5" s="107">
        <v>-1</v>
      </c>
      <c r="M5" s="254">
        <f t="shared" si="2"/>
        <v>0.14493873660829995</v>
      </c>
      <c r="N5" s="146">
        <f t="shared" si="3"/>
        <v>-0.03918124604762485</v>
      </c>
      <c r="O5" s="146">
        <f>IF(K5="","",LOG10(K5/20)-L5*(0.1/5)+LOG10(2/3))</f>
        <v>-0.15609125905568128</v>
      </c>
      <c r="P5" s="146">
        <f>Demography!P4</f>
        <v>-0.05918124604762484</v>
      </c>
      <c r="Q5" s="146">
        <f>P5-O5</f>
        <v>0.09691001300805643</v>
      </c>
      <c r="R5" s="123" t="s">
        <v>51</v>
      </c>
      <c r="S5" s="36" t="s">
        <v>20</v>
      </c>
      <c r="T5" s="107" t="s">
        <v>20</v>
      </c>
      <c r="U5" s="107" t="s">
        <v>19</v>
      </c>
      <c r="V5" s="107" t="s">
        <v>20</v>
      </c>
      <c r="W5" s="1">
        <v>0</v>
      </c>
      <c r="X5" s="1">
        <v>0</v>
      </c>
      <c r="Y5" s="1">
        <v>0</v>
      </c>
      <c r="Z5" s="1">
        <v>0</v>
      </c>
      <c r="AA5" s="1">
        <v>1</v>
      </c>
      <c r="AB5" s="1">
        <v>0</v>
      </c>
      <c r="AC5" s="1">
        <v>1</v>
      </c>
      <c r="AD5" s="224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</row>
    <row r="6" spans="1:56" ht="12.75">
      <c r="A6" s="4">
        <f>IF(Demography!A5="","",Demography!A5)</f>
        <v>1035</v>
      </c>
      <c r="B6" s="329">
        <v>36049</v>
      </c>
      <c r="C6" s="8">
        <f>IF(B6="","",B6-'Visit 1 - Neglect'!B5)</f>
        <v>99</v>
      </c>
      <c r="D6" s="8">
        <f t="shared" si="0"/>
        <v>14.142857142857142</v>
      </c>
      <c r="E6" s="1">
        <f>IF(B6="","",B6-'Visit 2'!B6)</f>
        <v>86</v>
      </c>
      <c r="F6" s="8">
        <f t="shared" si="1"/>
        <v>12.285714285714286</v>
      </c>
      <c r="G6" s="36">
        <v>25</v>
      </c>
      <c r="H6" s="107">
        <v>-1</v>
      </c>
      <c r="I6" s="107">
        <v>25</v>
      </c>
      <c r="J6" s="107">
        <v>-1</v>
      </c>
      <c r="K6" s="107">
        <v>20</v>
      </c>
      <c r="L6" s="107">
        <v>0</v>
      </c>
      <c r="M6" s="254">
        <f t="shared" si="2"/>
        <v>-0.05918124604762484</v>
      </c>
      <c r="N6" s="146">
        <f t="shared" si="3"/>
        <v>-0.05918124604762484</v>
      </c>
      <c r="O6" s="146">
        <f>IF(K6="","",LOG10(K6/20)-L6*(0.1/5)+LOG10(2/3))</f>
        <v>-0.17609125905568127</v>
      </c>
      <c r="P6" s="146">
        <f>Demography!P5</f>
        <v>-2.7755575615628914E-17</v>
      </c>
      <c r="Q6" s="146">
        <f>P6-O6</f>
        <v>0.17609125905568124</v>
      </c>
      <c r="R6" s="123" t="s">
        <v>51</v>
      </c>
      <c r="S6" s="36" t="s">
        <v>19</v>
      </c>
      <c r="T6" s="107" t="s">
        <v>19</v>
      </c>
      <c r="U6" s="107" t="s">
        <v>19</v>
      </c>
      <c r="V6" s="107" t="s">
        <v>20</v>
      </c>
      <c r="W6" s="1">
        <v>1</v>
      </c>
      <c r="X6" s="1">
        <v>0</v>
      </c>
      <c r="Y6" s="1">
        <v>1</v>
      </c>
      <c r="Z6" s="1">
        <v>0</v>
      </c>
      <c r="AA6" s="1">
        <v>1</v>
      </c>
      <c r="AB6" s="1">
        <v>0</v>
      </c>
      <c r="AC6" s="1">
        <v>1</v>
      </c>
      <c r="AD6" s="224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</row>
    <row r="7" spans="1:56" ht="12.75">
      <c r="A7" s="4">
        <f>IF(Demography!A6="","",Demography!A6)</f>
        <v>1018</v>
      </c>
      <c r="B7" s="331">
        <v>36116</v>
      </c>
      <c r="C7" s="5">
        <f>IF(B7="","",B7-'Visit 1 - Neglect'!B6)</f>
        <v>136</v>
      </c>
      <c r="D7" s="5">
        <f t="shared" si="0"/>
        <v>19.428571428571427</v>
      </c>
      <c r="E7" s="4">
        <f>IF(B7="","",B7-'Visit 2'!B7)</f>
        <v>87</v>
      </c>
      <c r="F7" s="5">
        <f t="shared" si="1"/>
        <v>12.428571428571429</v>
      </c>
      <c r="G7" s="37">
        <v>20</v>
      </c>
      <c r="H7" s="46">
        <v>0</v>
      </c>
      <c r="I7" s="46">
        <v>20</v>
      </c>
      <c r="J7" s="46">
        <v>-1</v>
      </c>
      <c r="K7" s="46">
        <v>20</v>
      </c>
      <c r="L7" s="46">
        <v>0</v>
      </c>
      <c r="M7" s="254">
        <f t="shared" si="2"/>
        <v>-0.17609125905568127</v>
      </c>
      <c r="N7" s="146">
        <f t="shared" si="3"/>
        <v>-0.15609125905568128</v>
      </c>
      <c r="O7" s="146">
        <f>IF(K7="","",LOG10(K7/20)-L7*(0.1/5)+LOG10(2/3))</f>
        <v>-0.17609125905568127</v>
      </c>
      <c r="P7" s="146">
        <f>Demography!P6</f>
        <v>-0.23609125905568126</v>
      </c>
      <c r="Q7" s="146">
        <f>P7-O7</f>
        <v>-0.06</v>
      </c>
      <c r="R7" s="123" t="s">
        <v>51</v>
      </c>
      <c r="S7" s="37" t="s">
        <v>20</v>
      </c>
      <c r="T7" s="46" t="s">
        <v>20</v>
      </c>
      <c r="U7" s="46" t="s">
        <v>20</v>
      </c>
      <c r="V7" s="46" t="s">
        <v>20</v>
      </c>
      <c r="W7" s="4">
        <v>0</v>
      </c>
      <c r="X7" s="4">
        <v>0</v>
      </c>
      <c r="Y7" s="4">
        <v>0</v>
      </c>
      <c r="Z7" s="4">
        <v>1</v>
      </c>
      <c r="AA7" s="4">
        <v>0</v>
      </c>
      <c r="AB7" s="4">
        <v>0</v>
      </c>
      <c r="AC7" s="4">
        <v>0</v>
      </c>
      <c r="AD7" s="224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</row>
    <row r="8" spans="1:56" ht="12.75">
      <c r="A8" s="315">
        <f>IF(Demography!A7="","",Demography!A7)</f>
        <v>1106</v>
      </c>
      <c r="B8" s="331"/>
      <c r="C8" s="5">
        <f>IF(B8="","",B8-'Visit 1 - Neglect'!B7)</f>
      </c>
      <c r="D8" s="5">
        <f t="shared" si="0"/>
      </c>
      <c r="E8" s="4">
        <f>IF(B8="","",B8-'Visit 2'!B8)</f>
      </c>
      <c r="F8" s="5">
        <f t="shared" si="1"/>
      </c>
      <c r="G8" s="37"/>
      <c r="H8" s="46"/>
      <c r="I8" s="46"/>
      <c r="J8" s="46"/>
      <c r="K8" s="46"/>
      <c r="L8" s="46"/>
      <c r="M8" s="254">
        <f t="shared" si="2"/>
      </c>
      <c r="N8" s="146">
        <f t="shared" si="3"/>
      </c>
      <c r="O8" s="146">
        <f>IF(K8="","",LOG10(K8/20)-L8*(0.1/5)+LOG10(2/3))</f>
      </c>
      <c r="P8" s="146"/>
      <c r="Q8" s="146"/>
      <c r="R8" s="123"/>
      <c r="S8" s="37"/>
      <c r="T8" s="46"/>
      <c r="U8" s="46"/>
      <c r="V8" s="46"/>
      <c r="W8" s="4"/>
      <c r="X8" s="4"/>
      <c r="Y8" s="4"/>
      <c r="Z8" s="4"/>
      <c r="AA8" s="4"/>
      <c r="AB8" s="4"/>
      <c r="AC8" s="4"/>
      <c r="AD8" s="224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</row>
    <row r="9" spans="1:56" ht="12.75">
      <c r="A9" s="4">
        <f>IF(Demography!A8="","",Demography!A8)</f>
        <v>1109</v>
      </c>
      <c r="B9" s="331">
        <v>36098</v>
      </c>
      <c r="C9" s="5">
        <f>IF(B9="","",B9-'Visit 1 - Neglect'!B8)</f>
        <v>86</v>
      </c>
      <c r="D9" s="5">
        <f t="shared" si="0"/>
        <v>12.285714285714286</v>
      </c>
      <c r="E9" s="4">
        <f>IF(B9="","",B9-'Visit 2'!B9)</f>
        <v>70</v>
      </c>
      <c r="F9" s="5">
        <f t="shared" si="1"/>
        <v>10</v>
      </c>
      <c r="G9" s="37"/>
      <c r="H9" s="46"/>
      <c r="I9" s="46"/>
      <c r="J9" s="46"/>
      <c r="K9" s="46"/>
      <c r="L9" s="46"/>
      <c r="M9" s="254">
        <f t="shared" si="2"/>
      </c>
      <c r="N9" s="146">
        <f t="shared" si="3"/>
      </c>
      <c r="O9" s="146"/>
      <c r="P9" s="146"/>
      <c r="Q9" s="146"/>
      <c r="R9" s="123" t="s">
        <v>9</v>
      </c>
      <c r="S9" s="37" t="s">
        <v>20</v>
      </c>
      <c r="T9" s="46" t="s">
        <v>20</v>
      </c>
      <c r="U9" s="46" t="s">
        <v>19</v>
      </c>
      <c r="V9" s="46" t="s">
        <v>20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224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</row>
    <row r="10" spans="1:56" ht="12.75">
      <c r="A10" s="315">
        <f>IF(Demography!A9="","",Demography!A9)</f>
        <v>1054</v>
      </c>
      <c r="B10" s="331"/>
      <c r="C10" s="5">
        <f>IF(B10="","",B10-'Visit 1 - Neglect'!B9)</f>
      </c>
      <c r="D10" s="5">
        <f t="shared" si="0"/>
      </c>
      <c r="E10" s="4">
        <f>IF(B10="","",B10-'Visit 2'!B10)</f>
      </c>
      <c r="F10" s="5">
        <f t="shared" si="1"/>
      </c>
      <c r="G10" s="37"/>
      <c r="H10" s="46"/>
      <c r="I10" s="46"/>
      <c r="J10" s="46"/>
      <c r="K10" s="46"/>
      <c r="L10" s="46"/>
      <c r="M10" s="254">
        <f t="shared" si="2"/>
      </c>
      <c r="N10" s="146">
        <f t="shared" si="3"/>
      </c>
      <c r="O10" s="146">
        <f aca="true" t="shared" si="4" ref="O10:O26">IF(K10="","",LOG10(K10/20)-L10*(0.1/5)+LOG10(2/3))</f>
      </c>
      <c r="P10" s="146"/>
      <c r="Q10" s="146"/>
      <c r="R10" s="123"/>
      <c r="S10" s="37"/>
      <c r="T10" s="46"/>
      <c r="U10" s="46"/>
      <c r="V10" s="46"/>
      <c r="W10" s="4"/>
      <c r="X10" s="4"/>
      <c r="Y10" s="4"/>
      <c r="Z10" s="4"/>
      <c r="AA10" s="4"/>
      <c r="AB10" s="4"/>
      <c r="AC10" s="4"/>
      <c r="AD10" s="224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</row>
    <row r="11" spans="1:56" ht="12.75">
      <c r="A11" s="4">
        <f>IF(Demography!A10="","",Demography!A10)</f>
        <v>1141</v>
      </c>
      <c r="B11" s="331">
        <v>36301</v>
      </c>
      <c r="C11" s="5">
        <f>IF(B11="","",B11-'Visit 1 - Neglect'!B10)</f>
        <v>111</v>
      </c>
      <c r="D11" s="5">
        <f t="shared" si="0"/>
        <v>15.857142857142858</v>
      </c>
      <c r="E11" s="4">
        <f>IF(B11="","",B11-'Visit 2'!B11)</f>
        <v>72</v>
      </c>
      <c r="F11" s="5">
        <f t="shared" si="1"/>
        <v>10.285714285714286</v>
      </c>
      <c r="G11" s="37">
        <v>40</v>
      </c>
      <c r="H11" s="46">
        <v>0</v>
      </c>
      <c r="I11" s="46">
        <v>40</v>
      </c>
      <c r="J11" s="46">
        <v>1</v>
      </c>
      <c r="K11" s="46">
        <v>40</v>
      </c>
      <c r="L11" s="46">
        <v>2</v>
      </c>
      <c r="M11" s="254">
        <f t="shared" si="2"/>
        <v>0.12493873660829993</v>
      </c>
      <c r="N11" s="146">
        <f t="shared" si="3"/>
        <v>0.10493873660829992</v>
      </c>
      <c r="O11" s="146">
        <f t="shared" si="4"/>
        <v>0.08493873660829995</v>
      </c>
      <c r="P11" s="146">
        <f>Demography!P10</f>
        <v>0.12493873660829993</v>
      </c>
      <c r="Q11" s="146">
        <f>P11-O11</f>
        <v>0.03999999999999998</v>
      </c>
      <c r="R11" s="123" t="s">
        <v>51</v>
      </c>
      <c r="S11" s="37" t="s">
        <v>19</v>
      </c>
      <c r="T11" s="46" t="s">
        <v>19</v>
      </c>
      <c r="U11" s="46" t="s">
        <v>19</v>
      </c>
      <c r="V11" s="46" t="s">
        <v>20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224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</row>
    <row r="12" spans="1:56" ht="12.75">
      <c r="A12" s="4">
        <f>IF(Demography!A11="","",Demography!A11)</f>
        <v>992</v>
      </c>
      <c r="B12" s="331">
        <v>36475</v>
      </c>
      <c r="C12" s="5">
        <f>IF(B12="","",B12-'Visit 1 - Neglect'!B11-339)</f>
        <v>80</v>
      </c>
      <c r="D12" s="5">
        <f t="shared" si="0"/>
        <v>11.428571428571429</v>
      </c>
      <c r="E12" s="4">
        <f>IF(B12="","",B12-'Visit 2'!B12-339)</f>
        <v>45</v>
      </c>
      <c r="F12" s="5">
        <f t="shared" si="1"/>
        <v>6.428571428571429</v>
      </c>
      <c r="G12" s="37">
        <v>20</v>
      </c>
      <c r="H12" s="46">
        <v>0</v>
      </c>
      <c r="I12" s="46">
        <v>20</v>
      </c>
      <c r="J12" s="46">
        <v>0</v>
      </c>
      <c r="K12" s="46">
        <v>20</v>
      </c>
      <c r="L12" s="46">
        <v>1</v>
      </c>
      <c r="M12" s="254">
        <f t="shared" si="2"/>
        <v>-0.17609125905568127</v>
      </c>
      <c r="N12" s="146">
        <f t="shared" si="3"/>
        <v>-0.17609125905568127</v>
      </c>
      <c r="O12" s="146">
        <f t="shared" si="4"/>
        <v>-0.19609125905568126</v>
      </c>
      <c r="P12" s="146">
        <f>Demography!P11</f>
        <v>-0.17609125905568127</v>
      </c>
      <c r="Q12" s="146">
        <f>P12-O12</f>
        <v>0.01999999999999999</v>
      </c>
      <c r="R12" s="123" t="s">
        <v>51</v>
      </c>
      <c r="S12" s="37" t="s">
        <v>19</v>
      </c>
      <c r="T12" s="46" t="s">
        <v>19</v>
      </c>
      <c r="U12" s="46" t="s">
        <v>19</v>
      </c>
      <c r="V12" s="46" t="s">
        <v>19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224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</row>
    <row r="13" spans="1:56" ht="12.75">
      <c r="A13" s="4">
        <f>IF(Demography!A12="","",Demography!A12)</f>
        <v>1163</v>
      </c>
      <c r="B13" s="331">
        <v>36302</v>
      </c>
      <c r="C13" s="5">
        <f>IF(B13="","",B13-'Visit 1 - Neglect'!B12)</f>
        <v>88</v>
      </c>
      <c r="D13" s="5">
        <f t="shared" si="0"/>
        <v>12.571428571428571</v>
      </c>
      <c r="E13" s="4">
        <f>IF(B13="","",B13-'Visit 2'!B13)</f>
        <v>70</v>
      </c>
      <c r="F13" s="5">
        <f t="shared" si="1"/>
        <v>10</v>
      </c>
      <c r="G13" s="37">
        <v>30</v>
      </c>
      <c r="H13" s="46">
        <v>0</v>
      </c>
      <c r="I13" s="46">
        <v>30</v>
      </c>
      <c r="J13" s="46">
        <v>-1</v>
      </c>
      <c r="K13" s="46">
        <v>25</v>
      </c>
      <c r="L13" s="46">
        <v>1</v>
      </c>
      <c r="M13" s="254">
        <f t="shared" si="2"/>
        <v>-2.7755575615628914E-17</v>
      </c>
      <c r="N13" s="146">
        <f t="shared" si="3"/>
        <v>0.019999999999999962</v>
      </c>
      <c r="O13" s="146">
        <f t="shared" si="4"/>
        <v>-0.09918124604762485</v>
      </c>
      <c r="P13" s="146">
        <f>Demography!P12</f>
        <v>-0.09918124604762485</v>
      </c>
      <c r="Q13" s="146">
        <f>P13-O13</f>
        <v>0</v>
      </c>
      <c r="R13" s="123" t="s">
        <v>51</v>
      </c>
      <c r="S13" s="37" t="s">
        <v>20</v>
      </c>
      <c r="T13" s="46" t="s">
        <v>51</v>
      </c>
      <c r="U13" s="46" t="s">
        <v>51</v>
      </c>
      <c r="V13" s="46" t="s">
        <v>20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224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</row>
    <row r="14" spans="1:56" ht="12.75">
      <c r="A14" s="4">
        <f>IF(Demography!A13="","",Demography!A13)</f>
        <v>1190</v>
      </c>
      <c r="B14" s="331">
        <v>36377</v>
      </c>
      <c r="C14" s="5">
        <f>IF(B14="","",B14-'Visit 1 - Neglect'!B13)</f>
        <v>133</v>
      </c>
      <c r="D14" s="5">
        <f t="shared" si="0"/>
        <v>19</v>
      </c>
      <c r="E14" s="4">
        <f>IF(B14="","",B14-'Visit 2'!B14)</f>
        <v>54</v>
      </c>
      <c r="F14" s="5">
        <f t="shared" si="1"/>
        <v>7.714285714285714</v>
      </c>
      <c r="G14" s="37">
        <v>40</v>
      </c>
      <c r="H14" s="46">
        <v>0</v>
      </c>
      <c r="I14" s="46">
        <v>30</v>
      </c>
      <c r="J14" s="46">
        <v>-1</v>
      </c>
      <c r="K14" s="46">
        <v>30</v>
      </c>
      <c r="L14" s="46">
        <v>0</v>
      </c>
      <c r="M14" s="254">
        <f t="shared" si="2"/>
        <v>0.12493873660829993</v>
      </c>
      <c r="N14" s="146">
        <f t="shared" si="3"/>
        <v>0.019999999999999962</v>
      </c>
      <c r="O14" s="146">
        <f t="shared" si="4"/>
        <v>-2.7755575615628914E-17</v>
      </c>
      <c r="P14" s="146">
        <f>Demography!P13</f>
        <v>-2.7755575615628914E-17</v>
      </c>
      <c r="Q14" s="146">
        <f>P14-O14</f>
        <v>0</v>
      </c>
      <c r="R14" s="123" t="s">
        <v>51</v>
      </c>
      <c r="S14" s="37" t="s">
        <v>19</v>
      </c>
      <c r="T14" s="46" t="s">
        <v>19</v>
      </c>
      <c r="U14" s="46" t="s">
        <v>19</v>
      </c>
      <c r="V14" s="46" t="s">
        <v>19</v>
      </c>
      <c r="W14" s="4">
        <v>1</v>
      </c>
      <c r="X14" s="4">
        <v>1</v>
      </c>
      <c r="Y14" s="4">
        <v>1</v>
      </c>
      <c r="Z14" s="4">
        <v>1</v>
      </c>
      <c r="AA14" s="4">
        <v>0</v>
      </c>
      <c r="AB14" s="4">
        <v>1</v>
      </c>
      <c r="AC14" s="4">
        <v>0</v>
      </c>
      <c r="AD14" s="224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</row>
    <row r="15" spans="1:56" ht="12.75">
      <c r="A15" s="4">
        <f>IF(Demography!A14="","",Demography!A14)</f>
        <v>1231</v>
      </c>
      <c r="B15" s="331">
        <v>36392</v>
      </c>
      <c r="C15" s="5">
        <f>IF(B15="","",B15-'Visit 1 - Neglect'!B14)</f>
        <v>84</v>
      </c>
      <c r="D15" s="5">
        <f t="shared" si="0"/>
        <v>12</v>
      </c>
      <c r="E15" s="4">
        <f>IF(B15="","",B15-'Visit 2'!B15)</f>
        <v>76</v>
      </c>
      <c r="F15" s="5">
        <f t="shared" si="1"/>
        <v>10.857142857142858</v>
      </c>
      <c r="G15" s="37">
        <v>25</v>
      </c>
      <c r="H15" s="46">
        <v>-1</v>
      </c>
      <c r="I15" s="46">
        <v>20</v>
      </c>
      <c r="J15" s="46">
        <v>-2</v>
      </c>
      <c r="K15" s="46">
        <v>20</v>
      </c>
      <c r="L15" s="46">
        <v>0</v>
      </c>
      <c r="M15" s="254">
        <f t="shared" si="2"/>
        <v>-0.05918124604762484</v>
      </c>
      <c r="N15" s="146">
        <f t="shared" si="3"/>
        <v>-0.13609125905568126</v>
      </c>
      <c r="O15" s="146">
        <f t="shared" si="4"/>
        <v>-0.17609125905568127</v>
      </c>
      <c r="P15" s="146">
        <f>Demography!P14</f>
        <v>-0.13609125905568126</v>
      </c>
      <c r="Q15" s="146">
        <f>P15-O15</f>
        <v>0.04000000000000001</v>
      </c>
      <c r="R15" s="123" t="s">
        <v>51</v>
      </c>
      <c r="S15" s="37" t="s">
        <v>20</v>
      </c>
      <c r="T15" s="46" t="s">
        <v>20</v>
      </c>
      <c r="U15" s="46" t="s">
        <v>20</v>
      </c>
      <c r="V15" s="46" t="s">
        <v>20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224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</row>
    <row r="16" spans="1:56" ht="12.75">
      <c r="A16" s="315">
        <f>IF(Demography!A15="","",Demography!A15)</f>
        <v>1235</v>
      </c>
      <c r="B16" s="331"/>
      <c r="C16" s="5">
        <f>IF(B16="","",B16-'Visit 1 - Neglect'!B15)</f>
      </c>
      <c r="D16" s="5">
        <f t="shared" si="0"/>
      </c>
      <c r="E16" s="4">
        <f>IF(B16="","",B16-'Visit 2'!B16)</f>
      </c>
      <c r="F16" s="5">
        <f t="shared" si="1"/>
      </c>
      <c r="G16" s="37"/>
      <c r="H16" s="46"/>
      <c r="I16" s="46"/>
      <c r="J16" s="46"/>
      <c r="K16" s="46"/>
      <c r="L16" s="46"/>
      <c r="M16" s="254">
        <f t="shared" si="2"/>
      </c>
      <c r="N16" s="146">
        <f t="shared" si="3"/>
      </c>
      <c r="O16" s="146">
        <f t="shared" si="4"/>
      </c>
      <c r="P16" s="146"/>
      <c r="Q16" s="146"/>
      <c r="R16" s="123"/>
      <c r="S16" s="37"/>
      <c r="T16" s="46"/>
      <c r="U16" s="46"/>
      <c r="V16" s="46"/>
      <c r="W16" s="4"/>
      <c r="X16" s="4"/>
      <c r="Y16" s="4"/>
      <c r="Z16" s="4"/>
      <c r="AA16" s="4"/>
      <c r="AB16" s="4"/>
      <c r="AC16" s="4"/>
      <c r="AD16" s="224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</row>
    <row r="17" spans="1:56" ht="12.75">
      <c r="A17" s="4">
        <f>IF(Demography!A16="","",Demography!A16)</f>
        <v>1249</v>
      </c>
      <c r="B17" s="331">
        <v>36414</v>
      </c>
      <c r="C17" s="5">
        <f>IF(B17="","",B17-'Visit 1 - Neglect'!B16)</f>
        <v>58</v>
      </c>
      <c r="D17" s="5">
        <f t="shared" si="0"/>
        <v>8.285714285714286</v>
      </c>
      <c r="E17" s="4">
        <f>IF(B17="","",B17-'Visit 2'!B17)</f>
        <v>35</v>
      </c>
      <c r="F17" s="5">
        <f t="shared" si="1"/>
        <v>5</v>
      </c>
      <c r="G17" s="37">
        <v>50</v>
      </c>
      <c r="H17" s="46">
        <v>0</v>
      </c>
      <c r="I17" s="46">
        <v>50</v>
      </c>
      <c r="J17" s="46">
        <v>1</v>
      </c>
      <c r="K17" s="46">
        <v>40</v>
      </c>
      <c r="L17" s="46">
        <v>0</v>
      </c>
      <c r="M17" s="254">
        <f t="shared" si="2"/>
        <v>0.22184874961635634</v>
      </c>
      <c r="N17" s="146">
        <f t="shared" si="3"/>
        <v>0.20184874961635632</v>
      </c>
      <c r="O17" s="146">
        <f t="shared" si="4"/>
        <v>0.12493873660829993</v>
      </c>
      <c r="P17" s="146">
        <f>Demography!P16</f>
        <v>0.14493873660829995</v>
      </c>
      <c r="Q17" s="146">
        <f>P17-O17</f>
        <v>0.020000000000000018</v>
      </c>
      <c r="R17" s="123" t="s">
        <v>51</v>
      </c>
      <c r="S17" s="37" t="s">
        <v>19</v>
      </c>
      <c r="T17" s="46" t="s">
        <v>19</v>
      </c>
      <c r="U17" s="46" t="s">
        <v>19</v>
      </c>
      <c r="V17" s="46" t="s">
        <v>20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224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</row>
    <row r="18" spans="1:56" ht="12.75">
      <c r="A18" s="4">
        <f>IF(Demography!A17="","",Demography!A17)</f>
        <v>1308</v>
      </c>
      <c r="B18" s="331">
        <v>36727</v>
      </c>
      <c r="C18" s="5">
        <f>IF(B18="","",B18-'Visit 1 - Neglect'!B17)</f>
        <v>154</v>
      </c>
      <c r="D18" s="5">
        <f t="shared" si="0"/>
        <v>22</v>
      </c>
      <c r="E18" s="4">
        <f>IF(B18="","",B18-'Visit 2'!B18)</f>
        <v>92</v>
      </c>
      <c r="F18" s="5">
        <f t="shared" si="1"/>
        <v>13.142857142857142</v>
      </c>
      <c r="G18" s="37">
        <v>20</v>
      </c>
      <c r="H18" s="46">
        <v>2</v>
      </c>
      <c r="I18" s="46">
        <v>40</v>
      </c>
      <c r="J18" s="46">
        <v>2</v>
      </c>
      <c r="K18" s="46">
        <v>25</v>
      </c>
      <c r="L18" s="46">
        <v>-1</v>
      </c>
      <c r="M18" s="254">
        <f t="shared" si="2"/>
        <v>-0.21609125905568127</v>
      </c>
      <c r="N18" s="146">
        <f t="shared" si="3"/>
        <v>0.08493873660829995</v>
      </c>
      <c r="O18" s="146">
        <f t="shared" si="4"/>
        <v>-0.05918124604762484</v>
      </c>
      <c r="P18" s="146">
        <f>Demography!P17</f>
        <v>-0.13918124604762483</v>
      </c>
      <c r="Q18" s="146">
        <f>P18-O18</f>
        <v>-0.07999999999999999</v>
      </c>
      <c r="R18" s="123" t="s">
        <v>51</v>
      </c>
      <c r="S18" s="37" t="s">
        <v>19</v>
      </c>
      <c r="T18" s="46" t="s">
        <v>19</v>
      </c>
      <c r="U18" s="46" t="s">
        <v>19</v>
      </c>
      <c r="V18" s="46" t="s">
        <v>19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224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</row>
    <row r="19" spans="1:56" ht="12.75">
      <c r="A19" s="4">
        <f>IF(Demography!A18="","",Demography!A18)</f>
        <v>1287</v>
      </c>
      <c r="B19" s="331">
        <v>36728</v>
      </c>
      <c r="C19" s="5">
        <f>IF(B19="","",B19-'Visit 1 - Neglect'!B18)</f>
        <v>224</v>
      </c>
      <c r="D19" s="5">
        <f t="shared" si="0"/>
        <v>32</v>
      </c>
      <c r="E19" s="4">
        <f>IF(B19="","",B19-'Visit 2'!B19)</f>
        <v>62</v>
      </c>
      <c r="F19" s="5">
        <f t="shared" si="1"/>
        <v>8.857142857142858</v>
      </c>
      <c r="G19" s="37">
        <v>40</v>
      </c>
      <c r="H19" s="46">
        <v>0</v>
      </c>
      <c r="I19" s="46">
        <v>40</v>
      </c>
      <c r="J19" s="46">
        <v>0</v>
      </c>
      <c r="K19" s="46">
        <v>40</v>
      </c>
      <c r="L19" s="46">
        <v>1</v>
      </c>
      <c r="M19" s="254">
        <f t="shared" si="2"/>
        <v>0.12493873660829993</v>
      </c>
      <c r="N19" s="146">
        <f t="shared" si="3"/>
        <v>0.12493873660829993</v>
      </c>
      <c r="O19" s="146">
        <f t="shared" si="4"/>
        <v>0.10493873660829992</v>
      </c>
      <c r="P19" s="146">
        <f>Demography!P18</f>
        <v>0.12493873660829993</v>
      </c>
      <c r="Q19" s="146">
        <f>P19-O19</f>
        <v>0.020000000000000018</v>
      </c>
      <c r="R19" s="123" t="s">
        <v>51</v>
      </c>
      <c r="S19" s="37" t="s">
        <v>19</v>
      </c>
      <c r="T19" s="46" t="s">
        <v>19</v>
      </c>
      <c r="U19" s="46" t="s">
        <v>19</v>
      </c>
      <c r="V19" s="46" t="s">
        <v>19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1</v>
      </c>
      <c r="AD19" s="224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</row>
    <row r="20" spans="1:56" ht="12.75">
      <c r="A20" s="4">
        <f>IF(Demography!A19="","",Demography!A19)</f>
        <v>1467</v>
      </c>
      <c r="B20" s="331">
        <v>36876</v>
      </c>
      <c r="C20" s="5">
        <f>IF(B20="","",B20-'Visit 1 - Neglect'!B19)</f>
        <v>66</v>
      </c>
      <c r="D20" s="5">
        <f t="shared" si="0"/>
        <v>9.428571428571429</v>
      </c>
      <c r="E20" s="4">
        <f>IF(B20="","",B20-'Visit 2'!B20)</f>
        <v>58</v>
      </c>
      <c r="F20" s="5">
        <f t="shared" si="1"/>
        <v>8.285714285714286</v>
      </c>
      <c r="G20" s="37"/>
      <c r="H20" s="46"/>
      <c r="I20" s="46"/>
      <c r="J20" s="46"/>
      <c r="K20" s="46"/>
      <c r="L20" s="46"/>
      <c r="M20" s="254">
        <f t="shared" si="2"/>
      </c>
      <c r="N20" s="146">
        <f t="shared" si="3"/>
      </c>
      <c r="O20" s="146">
        <f t="shared" si="4"/>
      </c>
      <c r="P20" s="146"/>
      <c r="Q20" s="146"/>
      <c r="R20" s="123" t="s">
        <v>9</v>
      </c>
      <c r="S20" s="37" t="s">
        <v>19</v>
      </c>
      <c r="T20" s="46" t="s">
        <v>19</v>
      </c>
      <c r="U20" s="46" t="s">
        <v>51</v>
      </c>
      <c r="V20" s="46" t="s">
        <v>57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224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</row>
    <row r="21" spans="1:56" ht="12.75">
      <c r="A21" s="4">
        <f>IF(Demography!A20="","",Demography!A20)</f>
        <v>1324</v>
      </c>
      <c r="B21" s="331">
        <v>36895</v>
      </c>
      <c r="C21" s="5">
        <f>IF(B21="","",B21-'Visit 1 - Neglect'!B20)</f>
        <v>101</v>
      </c>
      <c r="D21" s="5">
        <f t="shared" si="0"/>
        <v>14.428571428571429</v>
      </c>
      <c r="E21" s="4">
        <f>IF(B21="","",B21-'Visit 2'!B21)</f>
        <v>61</v>
      </c>
      <c r="F21" s="5">
        <f t="shared" si="1"/>
        <v>8.714285714285714</v>
      </c>
      <c r="G21" s="37"/>
      <c r="H21" s="46"/>
      <c r="I21" s="46"/>
      <c r="J21" s="46"/>
      <c r="K21" s="46"/>
      <c r="L21" s="46"/>
      <c r="M21" s="254">
        <f t="shared" si="2"/>
      </c>
      <c r="N21" s="146">
        <f t="shared" si="3"/>
      </c>
      <c r="O21" s="146">
        <f t="shared" si="4"/>
      </c>
      <c r="P21" s="146"/>
      <c r="Q21" s="146"/>
      <c r="R21" s="123" t="s">
        <v>9</v>
      </c>
      <c r="S21" s="37" t="s">
        <v>19</v>
      </c>
      <c r="T21" s="46" t="s">
        <v>19</v>
      </c>
      <c r="U21" s="46" t="s">
        <v>20</v>
      </c>
      <c r="V21" s="46" t="s">
        <v>19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224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</row>
    <row r="22" spans="1:56" ht="12.75">
      <c r="A22" s="1">
        <f>IF(Demography!A21="","",Demography!A21)</f>
        <v>1565</v>
      </c>
      <c r="B22" s="331">
        <v>37100</v>
      </c>
      <c r="C22" s="5">
        <f>IF(B22="","",B22-'Visit 1 - Neglect'!B21)</f>
        <v>67</v>
      </c>
      <c r="D22" s="5">
        <f t="shared" si="0"/>
        <v>9.571428571428571</v>
      </c>
      <c r="E22" s="4">
        <f>IF(B22="","",B22-'Visit 2'!B22)</f>
        <v>56</v>
      </c>
      <c r="F22" s="5">
        <f t="shared" si="1"/>
        <v>8</v>
      </c>
      <c r="G22" s="37">
        <v>35</v>
      </c>
      <c r="H22" s="46">
        <v>0</v>
      </c>
      <c r="I22" s="46">
        <v>30</v>
      </c>
      <c r="J22" s="46">
        <v>1</v>
      </c>
      <c r="K22" s="46">
        <v>32</v>
      </c>
      <c r="L22" s="46">
        <v>1</v>
      </c>
      <c r="M22" s="254">
        <f t="shared" si="2"/>
        <v>0.06694678963061318</v>
      </c>
      <c r="N22" s="146">
        <f t="shared" si="3"/>
        <v>-0.020000000000000018</v>
      </c>
      <c r="O22" s="146">
        <f t="shared" si="4"/>
        <v>0.008028723600243537</v>
      </c>
      <c r="P22" s="146">
        <f>Demography!P21</f>
        <v>0.2</v>
      </c>
      <c r="Q22" s="146">
        <f>P22-O22</f>
        <v>0.19197127639975647</v>
      </c>
      <c r="R22" s="123" t="s">
        <v>9</v>
      </c>
      <c r="S22" s="37" t="s">
        <v>19</v>
      </c>
      <c r="T22" s="46" t="s">
        <v>19</v>
      </c>
      <c r="U22" s="46" t="s">
        <v>19</v>
      </c>
      <c r="V22" s="46" t="s">
        <v>19</v>
      </c>
      <c r="W22" s="4">
        <v>1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1</v>
      </c>
      <c r="AD22" s="224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</row>
    <row r="23" spans="1:56" ht="12.75">
      <c r="A23" s="1">
        <f>IF(Demography!A22="","",Demography!A22)</f>
        <v>1579</v>
      </c>
      <c r="B23" s="331">
        <v>37142</v>
      </c>
      <c r="C23" s="5">
        <f>IF(B23="","",B23-'Visit 1 - Neglect'!B22)</f>
        <v>88</v>
      </c>
      <c r="D23" s="5">
        <f t="shared" si="0"/>
        <v>12.571428571428571</v>
      </c>
      <c r="E23" s="4">
        <f>IF(B23="","",B23-'Visit 2'!B23)</f>
        <v>84</v>
      </c>
      <c r="F23" s="5">
        <f t="shared" si="1"/>
        <v>12</v>
      </c>
      <c r="G23" s="37">
        <v>30</v>
      </c>
      <c r="H23" s="46">
        <v>0</v>
      </c>
      <c r="I23" s="46">
        <v>30</v>
      </c>
      <c r="J23" s="46">
        <v>0</v>
      </c>
      <c r="K23" s="46">
        <v>30</v>
      </c>
      <c r="L23" s="46">
        <v>0</v>
      </c>
      <c r="M23" s="254">
        <f t="shared" si="2"/>
        <v>-2.7755575615628914E-17</v>
      </c>
      <c r="N23" s="146">
        <f t="shared" si="3"/>
        <v>-2.7755575615628914E-17</v>
      </c>
      <c r="O23" s="146">
        <f t="shared" si="4"/>
        <v>-2.7755575615628914E-17</v>
      </c>
      <c r="P23" s="146">
        <f>Demography!P22</f>
        <v>0.06</v>
      </c>
      <c r="Q23" s="146">
        <f>P23-O23</f>
        <v>0.060000000000000026</v>
      </c>
      <c r="R23" s="123" t="s">
        <v>9</v>
      </c>
      <c r="S23" s="37" t="s">
        <v>19</v>
      </c>
      <c r="T23" s="46" t="s">
        <v>19</v>
      </c>
      <c r="U23" s="46" t="s">
        <v>19</v>
      </c>
      <c r="V23" s="46" t="s">
        <v>20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224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</row>
    <row r="24" spans="1:56" ht="12.75">
      <c r="A24" s="1">
        <f>IF(Demography!A23="","",Demography!A23)</f>
        <v>1580</v>
      </c>
      <c r="B24" s="331">
        <v>37180</v>
      </c>
      <c r="C24" s="5">
        <f>IF(B24="","",B24-'Visit 1 - Neglect'!B23)</f>
        <v>129</v>
      </c>
      <c r="D24" s="5">
        <f t="shared" si="0"/>
        <v>18.428571428571427</v>
      </c>
      <c r="E24" s="4">
        <f>IF(B24="","",B24-'Visit 2'!B24)</f>
        <v>94</v>
      </c>
      <c r="F24" s="5">
        <f t="shared" si="1"/>
        <v>13.428571428571429</v>
      </c>
      <c r="G24" s="37"/>
      <c r="H24" s="46"/>
      <c r="I24" s="46"/>
      <c r="J24" s="46"/>
      <c r="K24" s="46"/>
      <c r="L24" s="46"/>
      <c r="M24" s="254">
        <f t="shared" si="2"/>
      </c>
      <c r="N24" s="146">
        <f t="shared" si="3"/>
      </c>
      <c r="O24" s="146">
        <f t="shared" si="4"/>
      </c>
      <c r="P24" s="146"/>
      <c r="Q24" s="146"/>
      <c r="R24" s="123" t="s">
        <v>9</v>
      </c>
      <c r="S24" s="37" t="s">
        <v>19</v>
      </c>
      <c r="T24" s="46" t="s">
        <v>19</v>
      </c>
      <c r="U24" s="46" t="s">
        <v>19</v>
      </c>
      <c r="V24" s="46" t="s">
        <v>19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224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</row>
    <row r="25" spans="1:56" ht="12.75">
      <c r="A25" s="315">
        <f>IF(Demography!A24="","",Demography!A24)</f>
        <v>1595</v>
      </c>
      <c r="B25" s="331"/>
      <c r="C25" s="5">
        <f>IF(B25="","",B25-'Visit 1 - Neglect'!B24)</f>
      </c>
      <c r="D25" s="5">
        <f t="shared" si="0"/>
      </c>
      <c r="E25" s="4">
        <f>IF(B25="","",B25-'Visit 2'!B25)</f>
      </c>
      <c r="F25" s="5">
        <f t="shared" si="1"/>
      </c>
      <c r="G25" s="37"/>
      <c r="H25" s="46"/>
      <c r="I25" s="46"/>
      <c r="J25" s="46"/>
      <c r="K25" s="46"/>
      <c r="L25" s="46"/>
      <c r="M25" s="254">
        <f t="shared" si="2"/>
      </c>
      <c r="N25" s="146">
        <f t="shared" si="3"/>
      </c>
      <c r="O25" s="146">
        <f t="shared" si="4"/>
      </c>
      <c r="P25" s="146"/>
      <c r="Q25" s="321"/>
      <c r="R25" s="37"/>
      <c r="S25" s="37"/>
      <c r="T25" s="46"/>
      <c r="U25" s="46"/>
      <c r="V25" s="46"/>
      <c r="W25" s="4"/>
      <c r="X25" s="4"/>
      <c r="Y25" s="4"/>
      <c r="Z25" s="4"/>
      <c r="AA25" s="4"/>
      <c r="AB25" s="4"/>
      <c r="AC25" s="4"/>
      <c r="AD25" s="224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</row>
    <row r="26" spans="1:56" ht="13.5" thickBot="1">
      <c r="A26" s="52">
        <f>IF(Demography!A25="","",Demography!A25)</f>
        <v>1598</v>
      </c>
      <c r="B26" s="329">
        <v>37177</v>
      </c>
      <c r="C26" s="54">
        <f>IF(B26="","",B26-'Visit 1 - Neglect'!B25)</f>
        <v>42</v>
      </c>
      <c r="D26" s="54">
        <f t="shared" si="0"/>
        <v>6</v>
      </c>
      <c r="E26" s="52">
        <f>IF(B26="","",B26-'Visit 2'!B26)</f>
        <v>35</v>
      </c>
      <c r="F26" s="54">
        <f t="shared" si="1"/>
        <v>5</v>
      </c>
      <c r="G26" s="51">
        <v>25</v>
      </c>
      <c r="H26" s="52">
        <v>0</v>
      </c>
      <c r="I26" s="52">
        <v>30</v>
      </c>
      <c r="J26" s="52">
        <v>3</v>
      </c>
      <c r="K26" s="52">
        <v>25</v>
      </c>
      <c r="L26" s="52">
        <v>3</v>
      </c>
      <c r="M26" s="255">
        <f t="shared" si="2"/>
        <v>-0.07918124604762485</v>
      </c>
      <c r="N26" s="106">
        <f t="shared" si="3"/>
        <v>-0.060000000000000026</v>
      </c>
      <c r="O26" s="106">
        <f t="shared" si="4"/>
        <v>-0.13918124604762483</v>
      </c>
      <c r="P26" s="106">
        <f>Demography!P25</f>
        <v>-0.2170498667345877</v>
      </c>
      <c r="Q26" s="106">
        <f>P26-O26</f>
        <v>-0.07786862068696287</v>
      </c>
      <c r="R26" s="223" t="s">
        <v>9</v>
      </c>
      <c r="S26" s="51" t="s">
        <v>19</v>
      </c>
      <c r="T26" s="52" t="s">
        <v>20</v>
      </c>
      <c r="U26" s="52" t="s">
        <v>19</v>
      </c>
      <c r="V26" s="52" t="s">
        <v>20</v>
      </c>
      <c r="W26" s="52">
        <v>0</v>
      </c>
      <c r="X26" s="52">
        <v>0</v>
      </c>
      <c r="Y26" s="52">
        <v>0</v>
      </c>
      <c r="Z26" s="52">
        <v>0</v>
      </c>
      <c r="AA26" s="52">
        <v>1</v>
      </c>
      <c r="AB26" s="52">
        <v>0</v>
      </c>
      <c r="AC26" s="52">
        <v>0</v>
      </c>
      <c r="AD26" s="224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</row>
    <row r="27" spans="1:56" ht="13.5" thickBot="1">
      <c r="A27" s="370" t="s">
        <v>329</v>
      </c>
      <c r="B27" s="438" t="s">
        <v>328</v>
      </c>
      <c r="C27" s="8"/>
      <c r="D27" s="8"/>
      <c r="F27" s="8"/>
      <c r="P27" s="116"/>
      <c r="Q27" s="116"/>
      <c r="R27" s="286" t="s">
        <v>87</v>
      </c>
      <c r="AD27" s="226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</row>
    <row r="28" spans="1:56" ht="27.75" customHeight="1">
      <c r="A28" s="370"/>
      <c r="B28" s="439"/>
      <c r="P28" s="116"/>
      <c r="Q28" s="116"/>
      <c r="R28" s="287" t="s">
        <v>300</v>
      </c>
      <c r="S28" s="211">
        <f>COUNTIF(S4:S26,"yes")</f>
        <v>14</v>
      </c>
      <c r="T28" s="211">
        <f>COUNTIF(T4:T26,"yes")</f>
        <v>13</v>
      </c>
      <c r="U28" s="211">
        <f>COUNTIF(U4:U26,"yes")</f>
        <v>14</v>
      </c>
      <c r="V28" s="211">
        <f>COUNTIF(V4:V26,"yes")</f>
        <v>9</v>
      </c>
      <c r="W28" s="451" t="s">
        <v>264</v>
      </c>
      <c r="X28" s="452"/>
      <c r="Y28" s="452"/>
      <c r="Z28" s="453"/>
      <c r="AA28" s="227" t="s">
        <v>265</v>
      </c>
      <c r="AB28" s="228"/>
      <c r="AC28" s="229"/>
      <c r="AD28" s="226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</row>
    <row r="29" spans="1:56" ht="15.75" customHeight="1" thickBot="1">
      <c r="A29" s="370"/>
      <c r="B29" s="140">
        <f>COUNTA(B4:B26)</f>
        <v>19</v>
      </c>
      <c r="D29" s="8"/>
      <c r="E29" s="65"/>
      <c r="F29" s="8"/>
      <c r="P29" s="116"/>
      <c r="Q29" s="116"/>
      <c r="R29" s="285" t="s">
        <v>290</v>
      </c>
      <c r="S29" s="212">
        <f>COUNTIF(S4:S26,"no")</f>
        <v>5</v>
      </c>
      <c r="T29" s="212">
        <f>COUNTIF(T4:T26,"no")</f>
        <v>6</v>
      </c>
      <c r="U29" s="212">
        <f>COUNTIF(U4:U26,"no")</f>
        <v>5</v>
      </c>
      <c r="V29" s="212">
        <f>COUNTIF(V4:V26,"no")</f>
        <v>10</v>
      </c>
      <c r="W29" s="208">
        <f aca="true" t="shared" si="5" ref="W29:AC29">SUMIF($S4:$S26,"yes",W4:W26)</f>
        <v>10</v>
      </c>
      <c r="X29" s="209">
        <f t="shared" si="5"/>
        <v>3</v>
      </c>
      <c r="Y29" s="209">
        <f t="shared" si="5"/>
        <v>3</v>
      </c>
      <c r="Z29" s="210">
        <f t="shared" si="5"/>
        <v>2</v>
      </c>
      <c r="AA29" s="208">
        <f t="shared" si="5"/>
        <v>2</v>
      </c>
      <c r="AB29" s="209">
        <f t="shared" si="5"/>
        <v>2</v>
      </c>
      <c r="AC29" s="210">
        <f t="shared" si="5"/>
        <v>8</v>
      </c>
      <c r="AD29" s="226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</row>
    <row r="30" spans="1:56" ht="13.5" thickBot="1">
      <c r="A30" s="370"/>
      <c r="B30" s="107"/>
      <c r="E30" s="8"/>
      <c r="P30" s="116"/>
      <c r="Q30" s="116"/>
      <c r="R30" s="284" t="s">
        <v>83</v>
      </c>
      <c r="S30" s="213">
        <f>SUM(S28:S29)</f>
        <v>19</v>
      </c>
      <c r="T30" s="213">
        <f>SUM(T28:T29)</f>
        <v>19</v>
      </c>
      <c r="U30" s="213">
        <f>SUM(U28:U29)</f>
        <v>19</v>
      </c>
      <c r="V30" s="213">
        <f>SUM(V28:V29)</f>
        <v>19</v>
      </c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</row>
    <row r="31" spans="2:56" ht="12.75">
      <c r="B31" s="107"/>
      <c r="E31" s="8"/>
      <c r="S31" s="4"/>
      <c r="T31" s="4"/>
      <c r="U31" s="4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</row>
    <row r="32" spans="5:56" ht="12.75">
      <c r="E32" s="8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</row>
    <row r="33" spans="5:56" ht="12.75">
      <c r="E33" s="8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</row>
    <row r="34" spans="30:56" ht="12.75"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</row>
    <row r="35" spans="30:56" ht="12.75"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</row>
    <row r="36" spans="30:56" ht="12.75"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</row>
    <row r="40" spans="5:6" ht="12.75">
      <c r="E40" s="8"/>
      <c r="F40" s="8"/>
    </row>
    <row r="41" spans="5:6" ht="12.75">
      <c r="E41" s="8"/>
      <c r="F41" s="8"/>
    </row>
    <row r="42" spans="5:6" ht="12.75">
      <c r="E42" s="8"/>
      <c r="F42" s="8"/>
    </row>
    <row r="43" spans="5:6" ht="12.75">
      <c r="E43" s="8"/>
      <c r="F43" s="8"/>
    </row>
  </sheetData>
  <mergeCells count="14">
    <mergeCell ref="A1:A2"/>
    <mergeCell ref="B1:F2"/>
    <mergeCell ref="A27:A30"/>
    <mergeCell ref="W28:Z28"/>
    <mergeCell ref="G2:L2"/>
    <mergeCell ref="S2:V2"/>
    <mergeCell ref="B27:B28"/>
    <mergeCell ref="AA2:AC2"/>
    <mergeCell ref="W2:Z2"/>
    <mergeCell ref="H1:J1"/>
    <mergeCell ref="M2:O2"/>
    <mergeCell ref="R2:R3"/>
    <mergeCell ref="P2:P3"/>
    <mergeCell ref="Q2:Q3"/>
  </mergeCells>
  <printOptions/>
  <pageMargins left="0.75" right="0.75" top="1" bottom="1" header="0.5" footer="0.5"/>
  <pageSetup horizontalDpi="600" verticalDpi="600" orientation="portrait" r:id="rId3"/>
  <ignoredErrors>
    <ignoredError sqref="E4 E5:E26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9" sqref="M29"/>
    </sheetView>
  </sheetViews>
  <sheetFormatPr defaultColWidth="9.140625" defaultRowHeight="12"/>
  <cols>
    <col min="1" max="1" width="22.28125" style="131" customWidth="1"/>
    <col min="2" max="2" width="10.28125" style="130" customWidth="1"/>
    <col min="3" max="4" width="12.00390625" style="131" customWidth="1"/>
    <col min="5" max="5" width="11.421875" style="130" customWidth="1"/>
    <col min="6" max="6" width="12.00390625" style="132" customWidth="1"/>
    <col min="7" max="7" width="14.140625" style="131" customWidth="1"/>
    <col min="8" max="8" width="12.00390625" style="131" customWidth="1"/>
    <col min="9" max="10" width="12.00390625" style="132" customWidth="1"/>
    <col min="11" max="14" width="12.00390625" style="131" customWidth="1"/>
    <col min="15" max="15" width="13.00390625" style="131" customWidth="1"/>
    <col min="16" max="16384" width="12.00390625" style="131" customWidth="1"/>
  </cols>
  <sheetData>
    <row r="1" spans="1:13" ht="39.75" customHeight="1">
      <c r="A1" s="455" t="s">
        <v>118</v>
      </c>
      <c r="B1" s="462" t="s">
        <v>269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4"/>
    </row>
    <row r="2" spans="1:13" ht="54" customHeight="1">
      <c r="A2" s="456"/>
      <c r="B2" s="470" t="s">
        <v>86</v>
      </c>
      <c r="C2" s="470"/>
      <c r="D2" s="471"/>
      <c r="E2" s="468" t="s">
        <v>28</v>
      </c>
      <c r="F2" s="468"/>
      <c r="G2" s="469"/>
      <c r="H2" s="445" t="s">
        <v>87</v>
      </c>
      <c r="I2" s="472"/>
      <c r="J2" s="473"/>
      <c r="K2" s="459" t="s">
        <v>268</v>
      </c>
      <c r="L2" s="460"/>
      <c r="M2" s="461"/>
    </row>
    <row r="3" spans="1:13" ht="31.5" customHeight="1">
      <c r="A3" s="166" t="s">
        <v>88</v>
      </c>
      <c r="B3" s="154" t="s">
        <v>92</v>
      </c>
      <c r="C3" s="155" t="s">
        <v>93</v>
      </c>
      <c r="D3" s="178" t="s">
        <v>276</v>
      </c>
      <c r="E3" s="160" t="s">
        <v>94</v>
      </c>
      <c r="F3" s="158" t="s">
        <v>95</v>
      </c>
      <c r="G3" s="180" t="s">
        <v>273</v>
      </c>
      <c r="H3" s="157" t="s">
        <v>96</v>
      </c>
      <c r="I3" s="156" t="s">
        <v>97</v>
      </c>
      <c r="J3" s="181" t="s">
        <v>274</v>
      </c>
      <c r="K3" s="159" t="s">
        <v>89</v>
      </c>
      <c r="L3" s="159" t="s">
        <v>90</v>
      </c>
      <c r="M3" s="167" t="s">
        <v>275</v>
      </c>
    </row>
    <row r="4" spans="1:13" ht="12">
      <c r="A4" s="168">
        <f>IF(Demography!A3="","",Demography!A3)</f>
        <v>970</v>
      </c>
      <c r="B4" s="169">
        <f>'Visit 3'!B4-'Visit 2'!B4</f>
        <v>15</v>
      </c>
      <c r="C4" s="170">
        <v>45</v>
      </c>
      <c r="D4" s="171">
        <f>C4/B4</f>
        <v>3</v>
      </c>
      <c r="E4" s="179">
        <f>IF('Visit 4'!B4="","",'Visit 4'!B4-'Visit 3'!B4)</f>
        <v>12</v>
      </c>
      <c r="F4" s="171">
        <v>40</v>
      </c>
      <c r="G4" s="169">
        <f>F4/E4</f>
        <v>3.3333333333333335</v>
      </c>
      <c r="H4" s="179">
        <f>IF('Visit 5'!B4="","",'Visit 5'!B4-'Visit 4'!B4)</f>
        <v>30</v>
      </c>
      <c r="I4" s="171">
        <v>55</v>
      </c>
      <c r="J4" s="171">
        <f>I4/H4</f>
        <v>1.8333333333333333</v>
      </c>
      <c r="K4" s="182">
        <f>(D4*B4)+(G4*E4)+(J4*H4)</f>
        <v>140</v>
      </c>
      <c r="L4" s="170">
        <f>B4+E4+H4</f>
        <v>57</v>
      </c>
      <c r="M4" s="172">
        <f>(K4/L4)</f>
        <v>2.456140350877193</v>
      </c>
    </row>
    <row r="5" spans="1:13" ht="12">
      <c r="A5" s="168">
        <f>IF(Demography!A4="","",Demography!A4)</f>
        <v>979</v>
      </c>
      <c r="B5" s="169">
        <f>'Visit 3'!B5-'Visit 2'!B5</f>
        <v>6</v>
      </c>
      <c r="C5" s="170">
        <f>2*B5</f>
        <v>12</v>
      </c>
      <c r="D5" s="171">
        <f aca="true" t="shared" si="0" ref="D5:D26">C5/B5</f>
        <v>2</v>
      </c>
      <c r="E5" s="179">
        <f>IF('Visit 4'!B5="","",'Visit 4'!B5-'Visit 3'!B5)</f>
        <v>3</v>
      </c>
      <c r="F5" s="171">
        <f>2*E5</f>
        <v>6</v>
      </c>
      <c r="G5" s="169">
        <f aca="true" t="shared" si="1" ref="G5:G19">F5/E5</f>
        <v>2</v>
      </c>
      <c r="H5" s="179">
        <f>IF('Visit 5'!B5="","",'Visit 5'!B5-'Visit 4'!B5)</f>
        <v>49</v>
      </c>
      <c r="I5" s="171">
        <f>1*H5</f>
        <v>49</v>
      </c>
      <c r="J5" s="171">
        <f aca="true" t="shared" si="2" ref="J5:J19">I5/H5</f>
        <v>1</v>
      </c>
      <c r="K5" s="182">
        <f>(D5*B5)+(G5*E5)+(J5*H5)</f>
        <v>67</v>
      </c>
      <c r="L5" s="170">
        <f>B5+E5+H5</f>
        <v>58</v>
      </c>
      <c r="M5" s="172">
        <f>(K5/L5)</f>
        <v>1.1551724137931034</v>
      </c>
    </row>
    <row r="6" spans="1:13" ht="12">
      <c r="A6" s="168">
        <f>IF(Demography!A5="","",Demography!A5)</f>
        <v>1035</v>
      </c>
      <c r="B6" s="169">
        <f>'Visit 3'!B6-'Visit 2'!B6</f>
        <v>10</v>
      </c>
      <c r="C6" s="170">
        <f>8.95*B6</f>
        <v>89.5</v>
      </c>
      <c r="D6" s="171">
        <f t="shared" si="0"/>
        <v>8.95</v>
      </c>
      <c r="E6" s="179">
        <f>IF('Visit 4'!B6="","",'Visit 4'!B6-'Visit 3'!B6)</f>
        <v>27</v>
      </c>
      <c r="F6" s="171">
        <f>8.95*E6</f>
        <v>241.64999999999998</v>
      </c>
      <c r="G6" s="169">
        <f t="shared" si="1"/>
        <v>8.95</v>
      </c>
      <c r="H6" s="179">
        <f>IF('Visit 5'!B6="","",'Visit 5'!B6-'Visit 4'!B6)</f>
        <v>49</v>
      </c>
      <c r="I6" s="171">
        <f>8.95*H6</f>
        <v>438.54999999999995</v>
      </c>
      <c r="J6" s="171">
        <f t="shared" si="2"/>
        <v>8.95</v>
      </c>
      <c r="K6" s="182">
        <f>(D6*B6)+(G6*E6)+(J6*H6)</f>
        <v>769.6999999999999</v>
      </c>
      <c r="L6" s="170">
        <f>B6+E6+H6</f>
        <v>86</v>
      </c>
      <c r="M6" s="172">
        <f>(K6/L6)</f>
        <v>8.95</v>
      </c>
    </row>
    <row r="7" spans="1:13" ht="12">
      <c r="A7" s="168">
        <f>IF(Demography!A6="","",Demography!A6)</f>
        <v>1018</v>
      </c>
      <c r="B7" s="169">
        <f>'Visit 3'!B7-'Visit 2'!B7</f>
        <v>7</v>
      </c>
      <c r="C7" s="170">
        <f>B7*2</f>
        <v>14</v>
      </c>
      <c r="D7" s="171">
        <f t="shared" si="0"/>
        <v>2</v>
      </c>
      <c r="E7" s="179">
        <f>IF('Visit 4'!B7="","",'Visit 4'!B7-'Visit 3'!B7)</f>
        <v>12</v>
      </c>
      <c r="F7" s="171">
        <f>E7*2</f>
        <v>24</v>
      </c>
      <c r="G7" s="169">
        <f t="shared" si="1"/>
        <v>2</v>
      </c>
      <c r="H7" s="179">
        <f>IF('Visit 5'!B7="","",'Visit 5'!B7-'Visit 4'!B7)</f>
        <v>68</v>
      </c>
      <c r="I7" s="171">
        <f>H7*2</f>
        <v>136</v>
      </c>
      <c r="J7" s="171">
        <f t="shared" si="2"/>
        <v>2</v>
      </c>
      <c r="K7" s="182">
        <f>(D7*B7)+(G7*E7)+(J7*H7)</f>
        <v>174</v>
      </c>
      <c r="L7" s="170">
        <f>B7+E7+H7</f>
        <v>87</v>
      </c>
      <c r="M7" s="172">
        <f>(K7/L7)</f>
        <v>2</v>
      </c>
    </row>
    <row r="8" spans="1:13" ht="12">
      <c r="A8" s="323">
        <f>IF(Demography!A7="","",Demography!A7)</f>
        <v>1106</v>
      </c>
      <c r="B8" s="169"/>
      <c r="C8" s="170"/>
      <c r="D8" s="171"/>
      <c r="E8" s="179">
        <f>IF('Visit 4'!B8="","",'Visit 4'!B8-'Visit 3'!B8)</f>
      </c>
      <c r="F8" s="171"/>
      <c r="G8" s="169"/>
      <c r="H8" s="179">
        <f>IF('Visit 5'!B8="","",'Visit 5'!B8-'Visit 4'!B8)</f>
      </c>
      <c r="I8" s="171"/>
      <c r="J8" s="171"/>
      <c r="K8" s="182"/>
      <c r="L8" s="170"/>
      <c r="M8" s="172"/>
    </row>
    <row r="9" spans="1:13" ht="12">
      <c r="A9" s="168">
        <f>IF(Demography!A8="","",Demography!A8)</f>
        <v>1109</v>
      </c>
      <c r="B9" s="169">
        <f>'Visit 3'!B9-'Visit 2'!B9</f>
        <v>6</v>
      </c>
      <c r="C9" s="173">
        <f>B9*2</f>
        <v>12</v>
      </c>
      <c r="D9" s="171">
        <f t="shared" si="0"/>
        <v>2</v>
      </c>
      <c r="E9" s="179">
        <f>IF('Visit 4'!B9="","",'Visit 4'!B9-'Visit 3'!B9)</f>
        <v>7</v>
      </c>
      <c r="F9" s="174">
        <f>E9*2</f>
        <v>14</v>
      </c>
      <c r="G9" s="169">
        <f t="shared" si="1"/>
        <v>2</v>
      </c>
      <c r="H9" s="179">
        <f>IF('Visit 5'!B9="","",'Visit 5'!B9-'Visit 4'!B9)</f>
        <v>57</v>
      </c>
      <c r="I9" s="174">
        <v>0</v>
      </c>
      <c r="J9" s="171">
        <f t="shared" si="2"/>
        <v>0</v>
      </c>
      <c r="K9" s="182">
        <f>(D9*B9)+(G9*E9)+(J9*H9)</f>
        <v>26</v>
      </c>
      <c r="L9" s="170">
        <f>B9+E9+H9</f>
        <v>70</v>
      </c>
      <c r="M9" s="172">
        <f>(K9/L9)</f>
        <v>0.37142857142857144</v>
      </c>
    </row>
    <row r="10" spans="1:13" ht="12">
      <c r="A10" s="323">
        <f>IF(Demography!A9="","",Demography!A9)</f>
        <v>1054</v>
      </c>
      <c r="B10" s="169"/>
      <c r="C10" s="170"/>
      <c r="D10" s="171"/>
      <c r="E10" s="179">
        <f>IF('Visit 4'!B10="","",'Visit 4'!B10-'Visit 3'!B10)</f>
        <v>18</v>
      </c>
      <c r="F10" s="171"/>
      <c r="G10" s="169">
        <f t="shared" si="1"/>
        <v>0</v>
      </c>
      <c r="H10" s="179">
        <f>IF('Visit 5'!B10="","",'Visit 5'!B10-'Visit 4'!B10)</f>
      </c>
      <c r="I10" s="171"/>
      <c r="J10" s="171"/>
      <c r="K10" s="182"/>
      <c r="L10" s="170"/>
      <c r="M10" s="172"/>
    </row>
    <row r="11" spans="1:13" ht="12">
      <c r="A11" s="168">
        <f>IF(Demography!A10="","",Demography!A10)</f>
        <v>1141</v>
      </c>
      <c r="B11" s="169">
        <f>'Visit 3'!B11-'Visit 2'!B11</f>
        <v>7</v>
      </c>
      <c r="C11" s="170">
        <v>92</v>
      </c>
      <c r="D11" s="171">
        <f t="shared" si="0"/>
        <v>13.142857142857142</v>
      </c>
      <c r="E11" s="179">
        <f>IF('Visit 4'!B11="","",'Visit 4'!B11-'Visit 3'!B11)</f>
        <v>14</v>
      </c>
      <c r="F11" s="171">
        <f>E11*13.4</f>
        <v>187.6</v>
      </c>
      <c r="G11" s="169">
        <f t="shared" si="1"/>
        <v>13.4</v>
      </c>
      <c r="H11" s="179">
        <f>IF('Visit 5'!B11="","",'Visit 5'!B11-'Visit 4'!B11)</f>
        <v>51</v>
      </c>
      <c r="I11" s="171">
        <f>13.4*H11</f>
        <v>683.4</v>
      </c>
      <c r="J11" s="171">
        <f t="shared" si="2"/>
        <v>13.4</v>
      </c>
      <c r="K11" s="182">
        <f>(D11*B11)+(G11*E11)+(J11*H11)</f>
        <v>963</v>
      </c>
      <c r="L11" s="170">
        <f>B11+E11+H11</f>
        <v>72</v>
      </c>
      <c r="M11" s="172">
        <f>(K11/L11)</f>
        <v>13.375</v>
      </c>
    </row>
    <row r="12" spans="1:13" ht="12">
      <c r="A12" s="168">
        <f>IF(Demography!A11="","",Demography!A11)</f>
        <v>992</v>
      </c>
      <c r="B12" s="169">
        <f>'Visit 3'!B12-'Visit 2'!B12</f>
        <v>8</v>
      </c>
      <c r="C12" s="170">
        <f>(4.25/2)*B12</f>
        <v>17</v>
      </c>
      <c r="D12" s="171">
        <f t="shared" si="0"/>
        <v>2.125</v>
      </c>
      <c r="E12" s="179">
        <f>IF('Visit 4'!B12="","",'Visit 4'!B12-'Visit 3'!B12)</f>
        <v>347</v>
      </c>
      <c r="F12" s="171">
        <f>(4.25/2)*E12</f>
        <v>737.375</v>
      </c>
      <c r="G12" s="169">
        <f t="shared" si="1"/>
        <v>2.125</v>
      </c>
      <c r="H12" s="179">
        <f>IF('Visit 5'!B12="","",'Visit 5'!B12-'Visit 4'!B12)</f>
        <v>29</v>
      </c>
      <c r="I12" s="171">
        <f>(4.25/2)*H12</f>
        <v>61.625</v>
      </c>
      <c r="J12" s="171">
        <f t="shared" si="2"/>
        <v>2.125</v>
      </c>
      <c r="K12" s="182">
        <f>(D12*B12)+(G12*E12)+(J12*H12)</f>
        <v>816</v>
      </c>
      <c r="L12" s="170">
        <f>B12+E12+H12</f>
        <v>384</v>
      </c>
      <c r="M12" s="172">
        <f>(K12/L12)</f>
        <v>2.125</v>
      </c>
    </row>
    <row r="13" spans="1:13" ht="12">
      <c r="A13" s="168">
        <f>IF(Demography!A12="","",Demography!A12)</f>
        <v>1163</v>
      </c>
      <c r="B13" s="169">
        <f>'Visit 3'!B13-'Visit 2'!B13</f>
        <v>7</v>
      </c>
      <c r="C13" s="170">
        <v>29.5</v>
      </c>
      <c r="D13" s="171">
        <f t="shared" si="0"/>
        <v>4.214285714285714</v>
      </c>
      <c r="E13" s="179">
        <f>IF('Visit 4'!B13="","",'Visit 4'!B13-'Visit 3'!B13)</f>
        <v>14</v>
      </c>
      <c r="F13" s="171">
        <v>99</v>
      </c>
      <c r="G13" s="169">
        <f t="shared" si="1"/>
        <v>7.071428571428571</v>
      </c>
      <c r="H13" s="179">
        <f>IF('Visit 5'!B13="","",'Visit 5'!B13-'Visit 4'!B13)</f>
        <v>49</v>
      </c>
      <c r="I13" s="171">
        <f>5.5*(H13-14)</f>
        <v>192.5</v>
      </c>
      <c r="J13" s="171">
        <f t="shared" si="2"/>
        <v>3.9285714285714284</v>
      </c>
      <c r="K13" s="182">
        <f>(D13*B13)+(G13*E13)+(J13*H13)</f>
        <v>321</v>
      </c>
      <c r="L13" s="170">
        <f>B13+E13+H13</f>
        <v>70</v>
      </c>
      <c r="M13" s="172">
        <f>(K13/L13)</f>
        <v>4.585714285714285</v>
      </c>
    </row>
    <row r="14" spans="1:13" ht="12">
      <c r="A14" s="168">
        <f>IF(Demography!A13="","",Demography!A13)</f>
        <v>1190</v>
      </c>
      <c r="B14" s="169">
        <f>'Visit 3'!B14-'Visit 2'!B14</f>
        <v>7</v>
      </c>
      <c r="C14" s="170">
        <f>B14*2.75</f>
        <v>19.25</v>
      </c>
      <c r="D14" s="171">
        <f t="shared" si="0"/>
        <v>2.75</v>
      </c>
      <c r="E14" s="179">
        <f>IF('Visit 4'!B14="","",'Visit 4'!B14-'Visit 3'!B14)</f>
        <v>13</v>
      </c>
      <c r="F14" s="171">
        <f>E14*2.75</f>
        <v>35.75</v>
      </c>
      <c r="G14" s="169">
        <f t="shared" si="1"/>
        <v>2.75</v>
      </c>
      <c r="H14" s="179">
        <f>IF('Visit 5'!B14="","",'Visit 5'!B14-'Visit 4'!B14)</f>
        <v>34</v>
      </c>
      <c r="I14" s="171">
        <f>H14*2.75</f>
        <v>93.5</v>
      </c>
      <c r="J14" s="171">
        <f t="shared" si="2"/>
        <v>2.75</v>
      </c>
      <c r="K14" s="182">
        <f>(D14*B14)+(G14*E14)+(J14*H14)</f>
        <v>148.5</v>
      </c>
      <c r="L14" s="170">
        <f>B14+E14+H14</f>
        <v>54</v>
      </c>
      <c r="M14" s="172">
        <f>(K14/L14)</f>
        <v>2.75</v>
      </c>
    </row>
    <row r="15" spans="1:13" ht="12">
      <c r="A15" s="168">
        <f>IF(Demography!A14="","",Demography!A14)</f>
        <v>1231</v>
      </c>
      <c r="B15" s="169">
        <f>'Visit 3'!B15-'Visit 2'!B15</f>
        <v>6</v>
      </c>
      <c r="C15" s="170">
        <f>B15*2</f>
        <v>12</v>
      </c>
      <c r="D15" s="171">
        <f t="shared" si="0"/>
        <v>2</v>
      </c>
      <c r="E15" s="179">
        <f>IF('Visit 4'!B15="","",'Visit 4'!B15-'Visit 3'!B15)</f>
        <v>42</v>
      </c>
      <c r="F15" s="171">
        <f>E15*2</f>
        <v>84</v>
      </c>
      <c r="G15" s="169">
        <f t="shared" si="1"/>
        <v>2</v>
      </c>
      <c r="H15" s="179">
        <f>IF('Visit 5'!B15="","",'Visit 5'!B15-'Visit 4'!B15)</f>
        <v>28</v>
      </c>
      <c r="I15" s="171">
        <f>H15*2</f>
        <v>56</v>
      </c>
      <c r="J15" s="171">
        <f t="shared" si="2"/>
        <v>2</v>
      </c>
      <c r="K15" s="182">
        <f>(D15*B15)+(G15*E15)+(J15*H15)</f>
        <v>152</v>
      </c>
      <c r="L15" s="170">
        <f>B15+E15+H15</f>
        <v>76</v>
      </c>
      <c r="M15" s="172">
        <f aca="true" t="shared" si="3" ref="M15:M26">(K15/L15)</f>
        <v>2</v>
      </c>
    </row>
    <row r="16" spans="1:13" ht="12">
      <c r="A16" s="323">
        <f>IF(Demography!A15="","",Demography!A15)</f>
        <v>1235</v>
      </c>
      <c r="B16" s="169"/>
      <c r="C16" s="170"/>
      <c r="D16" s="171"/>
      <c r="E16" s="179">
        <f>IF('Visit 4'!B16="","",'Visit 4'!B16-'Visit 3'!B16)</f>
      </c>
      <c r="F16" s="171"/>
      <c r="G16" s="169"/>
      <c r="H16" s="179">
        <f>IF('Visit 5'!B16="","",'Visit 5'!B16-'Visit 4'!B16)</f>
      </c>
      <c r="I16" s="171"/>
      <c r="J16" s="171"/>
      <c r="K16" s="182"/>
      <c r="L16" s="170"/>
      <c r="M16" s="172"/>
    </row>
    <row r="17" spans="1:13" ht="12">
      <c r="A17" s="168">
        <f>IF(Demography!A16="","",Demography!A16)</f>
        <v>1249</v>
      </c>
      <c r="B17" s="169">
        <f>'Visit 3'!B17-'Visit 2'!B17</f>
        <v>8</v>
      </c>
      <c r="C17" s="170">
        <f>3*B17</f>
        <v>24</v>
      </c>
      <c r="D17" s="171">
        <f t="shared" si="0"/>
        <v>3</v>
      </c>
      <c r="E17" s="179">
        <f>IF('Visit 4'!B17="","",'Visit 4'!B17-'Visit 3'!B17)</f>
        <v>14</v>
      </c>
      <c r="F17" s="171">
        <f>3*E17</f>
        <v>42</v>
      </c>
      <c r="G17" s="169">
        <f t="shared" si="1"/>
        <v>3</v>
      </c>
      <c r="H17" s="179">
        <f>IF('Visit 5'!B17="","",'Visit 5'!B17-'Visit 4'!B17)</f>
        <v>13</v>
      </c>
      <c r="I17" s="171">
        <f>3*H17</f>
        <v>39</v>
      </c>
      <c r="J17" s="171">
        <f t="shared" si="2"/>
        <v>3</v>
      </c>
      <c r="K17" s="182">
        <f>(D17*B17)+(G17*E17)+(J17*H17)</f>
        <v>105</v>
      </c>
      <c r="L17" s="170">
        <f>B17+E17+H17</f>
        <v>35</v>
      </c>
      <c r="M17" s="172">
        <f t="shared" si="3"/>
        <v>3</v>
      </c>
    </row>
    <row r="18" spans="1:13" ht="12">
      <c r="A18" s="168">
        <f>IF(Demography!A17="","",Demography!A17)</f>
        <v>1308</v>
      </c>
      <c r="B18" s="169">
        <f>'Visit 3'!B18-'Visit 2'!B18</f>
        <v>12</v>
      </c>
      <c r="C18" s="170">
        <f>B18*1</f>
        <v>12</v>
      </c>
      <c r="D18" s="171">
        <f t="shared" si="0"/>
        <v>1</v>
      </c>
      <c r="E18" s="179">
        <f>IF('Visit 4'!B18="","",'Visit 4'!B18-'Visit 3'!B18)</f>
        <v>18</v>
      </c>
      <c r="F18" s="171">
        <f>E18*1</f>
        <v>18</v>
      </c>
      <c r="G18" s="169">
        <f t="shared" si="1"/>
        <v>1</v>
      </c>
      <c r="H18" s="179">
        <f>IF('Visit 5'!B18="","",'Visit 5'!B18-'Visit 4'!B18)</f>
        <v>62</v>
      </c>
      <c r="I18" s="171">
        <f>H18*1</f>
        <v>62</v>
      </c>
      <c r="J18" s="171">
        <f t="shared" si="2"/>
        <v>1</v>
      </c>
      <c r="K18" s="182">
        <f>(D18*B18)+(G18*E18)+(J18*H18)</f>
        <v>92</v>
      </c>
      <c r="L18" s="170">
        <f>B18+E18+H18</f>
        <v>92</v>
      </c>
      <c r="M18" s="172">
        <f t="shared" si="3"/>
        <v>1</v>
      </c>
    </row>
    <row r="19" spans="1:13" ht="12">
      <c r="A19" s="168">
        <f>IF(Demography!A18="","",Demography!A18)</f>
        <v>1287</v>
      </c>
      <c r="B19" s="169">
        <f>'Visit 3'!B19-'Visit 2'!B19</f>
        <v>7</v>
      </c>
      <c r="C19" s="170">
        <v>61</v>
      </c>
      <c r="D19" s="171">
        <f t="shared" si="0"/>
        <v>8.714285714285714</v>
      </c>
      <c r="E19" s="179">
        <f>IF('Visit 4'!B19="","",'Visit 4'!B19-'Visit 3'!B19)</f>
        <v>7</v>
      </c>
      <c r="F19" s="171">
        <v>35</v>
      </c>
      <c r="G19" s="169">
        <f t="shared" si="1"/>
        <v>5</v>
      </c>
      <c r="H19" s="179">
        <f>IF('Visit 5'!B19="","",'Visit 5'!B19-'Visit 4'!B19)</f>
        <v>48</v>
      </c>
      <c r="I19" s="171">
        <f>H19*3</f>
        <v>144</v>
      </c>
      <c r="J19" s="171">
        <f t="shared" si="2"/>
        <v>3</v>
      </c>
      <c r="K19" s="182">
        <f>(D19*B19)+(G19*E19)+(J19*H19)</f>
        <v>240</v>
      </c>
      <c r="L19" s="170">
        <f>B19+E19+H19</f>
        <v>62</v>
      </c>
      <c r="M19" s="172">
        <f t="shared" si="3"/>
        <v>3.870967741935484</v>
      </c>
    </row>
    <row r="20" spans="1:13" ht="12">
      <c r="A20" s="168">
        <f>IF(Demography!A19="","",Demography!A19)</f>
        <v>1467</v>
      </c>
      <c r="B20" s="169">
        <f>'Visit 3'!B20-'Visit 2'!B20</f>
        <v>20</v>
      </c>
      <c r="C20" s="170">
        <v>120</v>
      </c>
      <c r="D20" s="171">
        <f t="shared" si="0"/>
        <v>6</v>
      </c>
      <c r="E20" s="179">
        <f>IF('Visit 4'!B20="","",'Visit 4'!B20-'Visit 3'!B20)</f>
      </c>
      <c r="F20" s="171"/>
      <c r="G20" s="170"/>
      <c r="H20" s="179">
        <f>'Visit 5'!B20-'Visit 2'!B20</f>
        <v>58</v>
      </c>
      <c r="I20" s="171">
        <f>6*H20</f>
        <v>348</v>
      </c>
      <c r="J20" s="171">
        <f>I20/H20</f>
        <v>6</v>
      </c>
      <c r="K20" s="182">
        <f>(D20*B20)+(J20*H20)</f>
        <v>468</v>
      </c>
      <c r="L20" s="169">
        <f>B20+H20</f>
        <v>78</v>
      </c>
      <c r="M20" s="172">
        <f t="shared" si="3"/>
        <v>6</v>
      </c>
    </row>
    <row r="21" spans="1:15" ht="12">
      <c r="A21" s="168">
        <f>IF(Demography!A20="","",Demography!A20)</f>
        <v>1324</v>
      </c>
      <c r="B21" s="169">
        <f>'Visit 3'!B21-'Visit 2'!B21</f>
        <v>12</v>
      </c>
      <c r="C21" s="170">
        <f>8*B21</f>
        <v>96</v>
      </c>
      <c r="D21" s="171">
        <f t="shared" si="0"/>
        <v>8</v>
      </c>
      <c r="E21" s="179">
        <f>IF('Visit 4'!B21="","",'Visit 4'!B21-'Visit 3'!B21)</f>
      </c>
      <c r="F21" s="171"/>
      <c r="G21" s="170"/>
      <c r="H21" s="179">
        <f>'Visit 5'!B21-'Visit 2'!B21</f>
        <v>61</v>
      </c>
      <c r="I21" s="171">
        <f>8*H21</f>
        <v>488</v>
      </c>
      <c r="J21" s="171">
        <f>I21/H21</f>
        <v>8</v>
      </c>
      <c r="K21" s="182">
        <f aca="true" t="shared" si="4" ref="K21:K26">(D21*B21)+(J21*H21)</f>
        <v>584</v>
      </c>
      <c r="L21" s="169">
        <f aca="true" t="shared" si="5" ref="L21:L26">B21+H21</f>
        <v>73</v>
      </c>
      <c r="M21" s="172">
        <f t="shared" si="3"/>
        <v>8</v>
      </c>
      <c r="O21" s="22"/>
    </row>
    <row r="22" spans="1:15" ht="12">
      <c r="A22" s="168">
        <f>IF(Demography!A21="","",Demography!A21)</f>
        <v>1565</v>
      </c>
      <c r="B22" s="169">
        <f>'Visit 3'!B22-'Visit 2'!B22</f>
        <v>7</v>
      </c>
      <c r="C22" s="170">
        <v>36</v>
      </c>
      <c r="D22" s="171">
        <f t="shared" si="0"/>
        <v>5.142857142857143</v>
      </c>
      <c r="E22" s="179">
        <f>IF('Visit 4'!B22="","",'Visit 4'!B22-'Visit 3'!B22)</f>
      </c>
      <c r="F22" s="171"/>
      <c r="G22" s="170"/>
      <c r="H22" s="179">
        <f>'Visit 5'!B22-'Visit 2'!B22</f>
        <v>56</v>
      </c>
      <c r="I22" s="171">
        <f>(22/3)*H22</f>
        <v>410.66666666666663</v>
      </c>
      <c r="J22" s="171">
        <f>I22/H22</f>
        <v>7.333333333333333</v>
      </c>
      <c r="K22" s="182">
        <f t="shared" si="4"/>
        <v>446.66666666666663</v>
      </c>
      <c r="L22" s="169">
        <f t="shared" si="5"/>
        <v>63</v>
      </c>
      <c r="M22" s="172">
        <f t="shared" si="3"/>
        <v>7.089947089947089</v>
      </c>
      <c r="O22" s="22"/>
    </row>
    <row r="23" spans="1:15" ht="12">
      <c r="A23" s="168">
        <f>IF(Demography!A22="","",Demography!A22)</f>
        <v>1579</v>
      </c>
      <c r="B23" s="169">
        <f>'Visit 3'!B23-'Visit 2'!B23</f>
        <v>14</v>
      </c>
      <c r="C23" s="170">
        <v>114</v>
      </c>
      <c r="D23" s="171">
        <f t="shared" si="0"/>
        <v>8.142857142857142</v>
      </c>
      <c r="E23" s="179">
        <f>IF('Visit 4'!B23="","",'Visit 4'!B23-'Visit 3'!B23)</f>
      </c>
      <c r="F23" s="171"/>
      <c r="G23" s="170"/>
      <c r="H23" s="179">
        <f>'Visit 5'!B23-'Visit 2'!B23</f>
        <v>84</v>
      </c>
      <c r="I23" s="171">
        <f>3.75*H23</f>
        <v>315</v>
      </c>
      <c r="J23" s="171">
        <f>I23/H23</f>
        <v>3.75</v>
      </c>
      <c r="K23" s="182">
        <f t="shared" si="4"/>
        <v>429</v>
      </c>
      <c r="L23" s="169">
        <f t="shared" si="5"/>
        <v>98</v>
      </c>
      <c r="M23" s="172">
        <f t="shared" si="3"/>
        <v>4.377551020408164</v>
      </c>
      <c r="O23" s="22"/>
    </row>
    <row r="24" spans="1:13" ht="12">
      <c r="A24" s="168">
        <f>IF(Demography!A23="","",Demography!A23)</f>
        <v>1580</v>
      </c>
      <c r="B24" s="169">
        <f>'Visit 3'!B24-'Visit 2'!B24</f>
        <v>7</v>
      </c>
      <c r="C24" s="170">
        <v>22</v>
      </c>
      <c r="D24" s="171">
        <f t="shared" si="0"/>
        <v>3.142857142857143</v>
      </c>
      <c r="E24" s="179">
        <f>IF('Visit 4'!B24="","",'Visit 4'!B24-'Visit 3'!B24)</f>
      </c>
      <c r="F24" s="171"/>
      <c r="G24" s="170"/>
      <c r="H24" s="179">
        <f>'Visit 5'!B24-'Visit 2'!B24</f>
        <v>94</v>
      </c>
      <c r="I24" s="171">
        <f>1*H24</f>
        <v>94</v>
      </c>
      <c r="J24" s="171">
        <f>I24/H24</f>
        <v>1</v>
      </c>
      <c r="K24" s="182">
        <f t="shared" si="4"/>
        <v>116</v>
      </c>
      <c r="L24" s="169">
        <f t="shared" si="5"/>
        <v>101</v>
      </c>
      <c r="M24" s="172">
        <f t="shared" si="3"/>
        <v>1.1485148514851484</v>
      </c>
    </row>
    <row r="25" spans="1:13" ht="12">
      <c r="A25" s="323">
        <f>IF(Demography!A24="","",Demography!A24)</f>
        <v>1595</v>
      </c>
      <c r="B25" s="169"/>
      <c r="C25" s="170"/>
      <c r="D25" s="171"/>
      <c r="E25" s="179">
        <f>IF('Visit 4'!B25="","",'Visit 4'!B25-'Visit 3'!B25)</f>
      </c>
      <c r="F25" s="171"/>
      <c r="G25" s="170"/>
      <c r="H25" s="179"/>
      <c r="I25" s="171"/>
      <c r="J25" s="171"/>
      <c r="K25" s="182"/>
      <c r="L25" s="169"/>
      <c r="M25" s="172"/>
    </row>
    <row r="26" spans="1:13" ht="12.75" thickBot="1">
      <c r="A26" s="175">
        <f>IF(Demography!A25="","",Demography!A25)</f>
        <v>1598</v>
      </c>
      <c r="B26" s="176">
        <f>'Visit 3'!B26-'Visit 2'!B26</f>
        <v>7</v>
      </c>
      <c r="C26" s="293">
        <v>54</v>
      </c>
      <c r="D26" s="177">
        <f t="shared" si="0"/>
        <v>7.714285714285714</v>
      </c>
      <c r="E26" s="292">
        <f>IF('Visit 4'!B26="","",'Visit 4'!B26-'Visit 3'!B26)</f>
      </c>
      <c r="F26" s="177"/>
      <c r="G26" s="293"/>
      <c r="H26" s="176">
        <f>'Visit 5'!B26-'Visit 2'!B26</f>
        <v>35</v>
      </c>
      <c r="I26" s="177">
        <f>10*H26</f>
        <v>350</v>
      </c>
      <c r="J26" s="177">
        <f>I26/H26</f>
        <v>10</v>
      </c>
      <c r="K26" s="183">
        <f t="shared" si="4"/>
        <v>404</v>
      </c>
      <c r="L26" s="176">
        <f t="shared" si="5"/>
        <v>42</v>
      </c>
      <c r="M26" s="322">
        <f t="shared" si="3"/>
        <v>9.619047619047619</v>
      </c>
    </row>
    <row r="27" ht="12.75" thickBot="1">
      <c r="A27" s="370" t="s">
        <v>329</v>
      </c>
    </row>
    <row r="28" spans="1:13" ht="21" customHeight="1">
      <c r="A28" s="370"/>
      <c r="I28" s="465" t="s">
        <v>270</v>
      </c>
      <c r="J28" s="466"/>
      <c r="K28" s="164" t="s">
        <v>75</v>
      </c>
      <c r="L28" s="164" t="s">
        <v>76</v>
      </c>
      <c r="M28" s="165" t="s">
        <v>77</v>
      </c>
    </row>
    <row r="29" spans="1:13" ht="12">
      <c r="A29" s="370"/>
      <c r="I29" s="467" t="s">
        <v>271</v>
      </c>
      <c r="J29" s="460"/>
      <c r="K29" s="161">
        <f>MEDIAN(M4,M6,M11,M12,M14,M17:M21,M22,M23,M24,M26)</f>
        <v>4.124259381171823</v>
      </c>
      <c r="L29" s="161">
        <f>MIN(M4,M6,M11:M12,M14,M17:M21,M22:M24,M26)</f>
        <v>1</v>
      </c>
      <c r="M29" s="349">
        <f>MAX(M4,M6,M11:M12,M14,M17:M21,M22:M24,M26)</f>
        <v>13.375</v>
      </c>
    </row>
    <row r="30" spans="1:13" ht="12.75" thickBot="1">
      <c r="A30" s="370"/>
      <c r="I30" s="457" t="s">
        <v>272</v>
      </c>
      <c r="J30" s="458"/>
      <c r="K30" s="162">
        <f>MEDIAN(M5,M7,M9,M13,M15)</f>
        <v>2</v>
      </c>
      <c r="L30" s="162">
        <f>MIN(M5,M7,M9,M13,M15)</f>
        <v>0.37142857142857144</v>
      </c>
      <c r="M30" s="163">
        <f>MAX(M5,M7,M9,M13,M15)</f>
        <v>4.585714285714285</v>
      </c>
    </row>
    <row r="31" spans="12:13" ht="10.5">
      <c r="L31"/>
      <c r="M31"/>
    </row>
    <row r="32" spans="12:13" ht="10.5">
      <c r="L32"/>
      <c r="M32"/>
    </row>
  </sheetData>
  <mergeCells count="10">
    <mergeCell ref="A1:A2"/>
    <mergeCell ref="I30:J30"/>
    <mergeCell ref="K2:M2"/>
    <mergeCell ref="B1:M1"/>
    <mergeCell ref="I28:J28"/>
    <mergeCell ref="I29:J29"/>
    <mergeCell ref="E2:G2"/>
    <mergeCell ref="B2:D2"/>
    <mergeCell ref="H2:J2"/>
    <mergeCell ref="A27:A30"/>
  </mergeCells>
  <printOptions/>
  <pageMargins left="0.75" right="0.75" top="1" bottom="1" header="0.5" footer="0.5"/>
  <pageSetup horizontalDpi="600" verticalDpi="600" orientation="landscape" scale="7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G44"/>
  <sheetViews>
    <sheetView zoomScale="75" zoomScaleNormal="75" workbookViewId="0" topLeftCell="A1">
      <pane xSplit="1" ySplit="3" topLeftCell="CB4" activePane="bottomRight" state="frozen"/>
      <selection pane="topLeft" activeCell="A1" sqref="A1"/>
      <selection pane="topRight" activeCell="B1" sqref="B1"/>
      <selection pane="bottomLeft" activeCell="AK3" sqref="AK3"/>
      <selection pane="bottomRight" activeCell="CG29" sqref="CG29"/>
    </sheetView>
  </sheetViews>
  <sheetFormatPr defaultColWidth="9.140625" defaultRowHeight="12"/>
  <cols>
    <col min="1" max="1" width="23.8515625" style="108" customWidth="1"/>
    <col min="2" max="2" width="12.28125" style="108" customWidth="1"/>
    <col min="3" max="3" width="21.140625" style="108" customWidth="1"/>
    <col min="4" max="4" width="20.28125" style="108" customWidth="1"/>
    <col min="5" max="5" width="25.28125" style="108" customWidth="1"/>
    <col min="6" max="6" width="24.7109375" style="108" customWidth="1"/>
    <col min="7" max="7" width="16.00390625" style="108" customWidth="1"/>
    <col min="8" max="8" width="24.00390625" style="108" customWidth="1"/>
    <col min="9" max="9" width="17.421875" style="108" customWidth="1"/>
    <col min="10" max="10" width="25.00390625" style="108" customWidth="1"/>
    <col min="11" max="11" width="25.421875" style="108" customWidth="1"/>
    <col min="12" max="12" width="21.7109375" style="108" customWidth="1"/>
    <col min="13" max="13" width="18.8515625" style="108" customWidth="1"/>
    <col min="14" max="14" width="32.8515625" style="108" customWidth="1"/>
    <col min="15" max="15" width="26.140625" style="108" customWidth="1"/>
    <col min="16" max="16" width="21.7109375" style="108" customWidth="1"/>
    <col min="17" max="17" width="19.8515625" style="108" customWidth="1"/>
    <col min="18" max="18" width="14.8515625" style="108" customWidth="1"/>
    <col min="19" max="19" width="26.140625" style="108" customWidth="1"/>
    <col min="20" max="20" width="15.421875" style="108" customWidth="1"/>
    <col min="21" max="21" width="38.28125" style="108" customWidth="1"/>
    <col min="22" max="22" width="18.00390625" style="108" customWidth="1"/>
    <col min="23" max="23" width="18.8515625" style="108" customWidth="1"/>
    <col min="24" max="24" width="24.28125" style="108" customWidth="1"/>
    <col min="25" max="25" width="16.8515625" style="108" customWidth="1"/>
    <col min="26" max="26" width="14.28125" style="108" customWidth="1"/>
    <col min="27" max="27" width="19.421875" style="108" customWidth="1"/>
    <col min="28" max="28" width="19.00390625" style="108" customWidth="1"/>
    <col min="29" max="29" width="13.28125" style="108" customWidth="1"/>
    <col min="30" max="30" width="25.421875" style="108" customWidth="1"/>
    <col min="31" max="31" width="13.7109375" style="108" customWidth="1"/>
    <col min="32" max="32" width="12.7109375" style="108" customWidth="1"/>
    <col min="33" max="33" width="16.28125" style="108" customWidth="1"/>
    <col min="34" max="34" width="21.00390625" style="108" customWidth="1"/>
    <col min="35" max="35" width="23.421875" style="108" customWidth="1"/>
    <col min="36" max="36" width="18.00390625" style="108" customWidth="1"/>
    <col min="37" max="37" width="22.7109375" style="108" customWidth="1"/>
    <col min="38" max="38" width="18.421875" style="108" customWidth="1"/>
    <col min="39" max="39" width="19.28125" style="108" customWidth="1"/>
    <col min="40" max="40" width="23.00390625" style="108" customWidth="1"/>
    <col min="41" max="41" width="17.8515625" style="108" customWidth="1"/>
    <col min="42" max="42" width="20.140625" style="108" customWidth="1"/>
    <col min="43" max="44" width="12.00390625" style="108" customWidth="1"/>
    <col min="45" max="45" width="22.00390625" style="108" customWidth="1"/>
    <col min="46" max="46" width="20.8515625" style="108" customWidth="1"/>
    <col min="47" max="47" width="25.28125" style="108" customWidth="1"/>
    <col min="48" max="48" width="23.28125" style="108" customWidth="1"/>
    <col min="49" max="49" width="20.7109375" style="108" customWidth="1"/>
    <col min="50" max="50" width="21.28125" style="108" customWidth="1"/>
    <col min="51" max="51" width="18.7109375" style="108" customWidth="1"/>
    <col min="52" max="52" width="24.8515625" style="108" customWidth="1"/>
    <col min="53" max="53" width="25.140625" style="108" customWidth="1"/>
    <col min="54" max="54" width="21.8515625" style="108" customWidth="1"/>
    <col min="55" max="55" width="27.140625" style="108" customWidth="1"/>
    <col min="56" max="56" width="32.140625" style="108" customWidth="1"/>
    <col min="57" max="57" width="27.28125" style="108" customWidth="1"/>
    <col min="58" max="58" width="26.8515625" style="108" customWidth="1"/>
    <col min="59" max="59" width="17.8515625" style="108" customWidth="1"/>
    <col min="60" max="60" width="20.421875" style="108" customWidth="1"/>
    <col min="61" max="61" width="19.8515625" style="108" customWidth="1"/>
    <col min="62" max="62" width="25.7109375" style="108" customWidth="1"/>
    <col min="63" max="63" width="16.7109375" style="108" customWidth="1"/>
    <col min="64" max="64" width="15.28125" style="108" customWidth="1"/>
    <col min="65" max="65" width="17.8515625" style="108" customWidth="1"/>
    <col min="66" max="66" width="20.8515625" style="108" customWidth="1"/>
    <col min="67" max="67" width="12.421875" style="108" customWidth="1"/>
    <col min="68" max="68" width="25.421875" style="108" customWidth="1"/>
    <col min="69" max="69" width="13.8515625" style="108" customWidth="1"/>
    <col min="70" max="70" width="12.00390625" style="108" customWidth="1"/>
    <col min="71" max="71" width="16.7109375" style="108" customWidth="1"/>
    <col min="72" max="72" width="21.7109375" style="108" customWidth="1"/>
    <col min="73" max="73" width="23.00390625" style="108" customWidth="1"/>
    <col min="74" max="74" width="17.28125" style="108" customWidth="1"/>
    <col min="75" max="75" width="22.7109375" style="108" customWidth="1"/>
    <col min="76" max="76" width="18.00390625" style="108" customWidth="1"/>
    <col min="77" max="77" width="16.421875" style="108" customWidth="1"/>
    <col min="78" max="78" width="39.00390625" style="108" customWidth="1"/>
    <col min="79" max="79" width="23.28125" style="108" customWidth="1"/>
    <col min="80" max="80" width="18.7109375" style="108" customWidth="1"/>
    <col min="81" max="81" width="16.421875" style="108" customWidth="1"/>
    <col min="82" max="82" width="13.00390625" style="108" customWidth="1"/>
    <col min="83" max="83" width="12.00390625" style="108" customWidth="1"/>
    <col min="84" max="84" width="14.8515625" style="108" customWidth="1"/>
    <col min="85" max="16384" width="12.00390625" style="108" customWidth="1"/>
  </cols>
  <sheetData>
    <row r="1" spans="1:84" ht="60.75" customHeight="1">
      <c r="A1" s="362" t="s">
        <v>118</v>
      </c>
      <c r="B1" s="477" t="s">
        <v>319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95" t="s">
        <v>205</v>
      </c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440" t="s">
        <v>205</v>
      </c>
      <c r="CF1" s="419"/>
    </row>
    <row r="2" spans="1:84" ht="39.75" customHeight="1">
      <c r="A2" s="362"/>
      <c r="B2" s="479" t="s">
        <v>8</v>
      </c>
      <c r="C2" s="480"/>
      <c r="D2" s="480"/>
      <c r="E2" s="480"/>
      <c r="F2" s="398" t="s">
        <v>180</v>
      </c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2" t="s">
        <v>179</v>
      </c>
      <c r="W2" s="393"/>
      <c r="X2" s="393"/>
      <c r="Y2" s="393"/>
      <c r="Z2" s="393"/>
      <c r="AA2" s="393"/>
      <c r="AB2" s="393"/>
      <c r="AC2" s="393"/>
      <c r="AD2" s="394"/>
      <c r="AE2" s="390" t="s">
        <v>40</v>
      </c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481"/>
      <c r="AR2" s="479" t="s">
        <v>8</v>
      </c>
      <c r="AS2" s="480"/>
      <c r="AT2" s="480"/>
      <c r="AU2" s="480"/>
      <c r="AV2" s="482" t="s">
        <v>180</v>
      </c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4"/>
      <c r="BH2" s="485" t="s">
        <v>179</v>
      </c>
      <c r="BI2" s="486"/>
      <c r="BJ2" s="486"/>
      <c r="BK2" s="486"/>
      <c r="BL2" s="486"/>
      <c r="BM2" s="486"/>
      <c r="BN2" s="486"/>
      <c r="BO2" s="486"/>
      <c r="BP2" s="487"/>
      <c r="BQ2" s="474" t="s">
        <v>40</v>
      </c>
      <c r="BR2" s="475"/>
      <c r="BS2" s="475"/>
      <c r="BT2" s="475"/>
      <c r="BU2" s="475"/>
      <c r="BV2" s="475"/>
      <c r="BW2" s="475"/>
      <c r="BX2" s="475"/>
      <c r="BY2" s="475"/>
      <c r="BZ2" s="475"/>
      <c r="CA2" s="475"/>
      <c r="CB2" s="475"/>
      <c r="CC2" s="475"/>
      <c r="CD2" s="476"/>
      <c r="CE2" s="441"/>
      <c r="CF2" s="420"/>
    </row>
    <row r="3" spans="1:84" ht="65.25" customHeight="1">
      <c r="A3" s="71" t="s">
        <v>55</v>
      </c>
      <c r="B3" s="85" t="s">
        <v>152</v>
      </c>
      <c r="C3" s="85" t="s">
        <v>154</v>
      </c>
      <c r="D3" s="85" t="s">
        <v>155</v>
      </c>
      <c r="E3" s="85" t="s">
        <v>156</v>
      </c>
      <c r="F3" s="86" t="s">
        <v>161</v>
      </c>
      <c r="G3" s="86" t="s">
        <v>162</v>
      </c>
      <c r="H3" s="256" t="s">
        <v>163</v>
      </c>
      <c r="I3" s="86" t="s">
        <v>207</v>
      </c>
      <c r="J3" s="86" t="s">
        <v>208</v>
      </c>
      <c r="K3" s="256" t="s">
        <v>164</v>
      </c>
      <c r="L3" s="86" t="s">
        <v>165</v>
      </c>
      <c r="M3" s="86" t="s">
        <v>166</v>
      </c>
      <c r="N3" s="86" t="s">
        <v>167</v>
      </c>
      <c r="O3" s="256" t="s">
        <v>168</v>
      </c>
      <c r="P3" s="86" t="s">
        <v>172</v>
      </c>
      <c r="Q3" s="86" t="s">
        <v>173</v>
      </c>
      <c r="R3" s="86" t="s">
        <v>174</v>
      </c>
      <c r="S3" s="256" t="s">
        <v>175</v>
      </c>
      <c r="T3" s="86" t="s">
        <v>176</v>
      </c>
      <c r="U3" s="86" t="s">
        <v>177</v>
      </c>
      <c r="V3" s="87" t="s">
        <v>181</v>
      </c>
      <c r="W3" s="87" t="s">
        <v>182</v>
      </c>
      <c r="X3" s="87" t="s">
        <v>183</v>
      </c>
      <c r="Y3" s="256" t="s">
        <v>184</v>
      </c>
      <c r="Z3" s="87" t="s">
        <v>209</v>
      </c>
      <c r="AA3" s="87" t="s">
        <v>188</v>
      </c>
      <c r="AB3" s="87" t="s">
        <v>185</v>
      </c>
      <c r="AC3" s="256" t="s">
        <v>186</v>
      </c>
      <c r="AD3" s="87" t="s">
        <v>187</v>
      </c>
      <c r="AE3" s="89" t="s">
        <v>192</v>
      </c>
      <c r="AF3" s="256" t="s">
        <v>193</v>
      </c>
      <c r="AG3" s="89" t="s">
        <v>194</v>
      </c>
      <c r="AH3" s="89" t="s">
        <v>195</v>
      </c>
      <c r="AI3" s="89" t="s">
        <v>196</v>
      </c>
      <c r="AJ3" s="89" t="s">
        <v>197</v>
      </c>
      <c r="AK3" s="256" t="s">
        <v>198</v>
      </c>
      <c r="AL3" s="89" t="s">
        <v>199</v>
      </c>
      <c r="AM3" s="89" t="s">
        <v>200</v>
      </c>
      <c r="AN3" s="256" t="s">
        <v>201</v>
      </c>
      <c r="AO3" s="256" t="s">
        <v>202</v>
      </c>
      <c r="AP3" s="89" t="s">
        <v>203</v>
      </c>
      <c r="AQ3" s="256" t="s">
        <v>204</v>
      </c>
      <c r="AR3" s="85" t="s">
        <v>152</v>
      </c>
      <c r="AS3" s="85" t="s">
        <v>154</v>
      </c>
      <c r="AT3" s="85" t="s">
        <v>155</v>
      </c>
      <c r="AU3" s="85" t="s">
        <v>156</v>
      </c>
      <c r="AV3" s="86" t="s">
        <v>161</v>
      </c>
      <c r="AW3" s="86" t="s">
        <v>162</v>
      </c>
      <c r="AX3" s="256" t="s">
        <v>163</v>
      </c>
      <c r="AY3" s="86" t="s">
        <v>207</v>
      </c>
      <c r="AZ3" s="86" t="s">
        <v>208</v>
      </c>
      <c r="BA3" s="256" t="s">
        <v>164</v>
      </c>
      <c r="BB3" s="86" t="s">
        <v>165</v>
      </c>
      <c r="BC3" s="86" t="s">
        <v>166</v>
      </c>
      <c r="BD3" s="86" t="s">
        <v>167</v>
      </c>
      <c r="BE3" s="256" t="s">
        <v>168</v>
      </c>
      <c r="BF3" s="256" t="s">
        <v>175</v>
      </c>
      <c r="BG3" s="86" t="s">
        <v>176</v>
      </c>
      <c r="BH3" s="87" t="s">
        <v>181</v>
      </c>
      <c r="BI3" s="87" t="s">
        <v>182</v>
      </c>
      <c r="BJ3" s="87" t="s">
        <v>183</v>
      </c>
      <c r="BK3" s="256" t="s">
        <v>184</v>
      </c>
      <c r="BL3" s="87" t="s">
        <v>209</v>
      </c>
      <c r="BM3" s="87" t="s">
        <v>188</v>
      </c>
      <c r="BN3" s="87" t="s">
        <v>185</v>
      </c>
      <c r="BO3" s="256" t="s">
        <v>186</v>
      </c>
      <c r="BP3" s="87" t="s">
        <v>187</v>
      </c>
      <c r="BQ3" s="89" t="s">
        <v>192</v>
      </c>
      <c r="BR3" s="256" t="s">
        <v>193</v>
      </c>
      <c r="BS3" s="89" t="s">
        <v>194</v>
      </c>
      <c r="BT3" s="89" t="s">
        <v>195</v>
      </c>
      <c r="BU3" s="89" t="s">
        <v>196</v>
      </c>
      <c r="BV3" s="89" t="s">
        <v>197</v>
      </c>
      <c r="BW3" s="256" t="s">
        <v>198</v>
      </c>
      <c r="BX3" s="89" t="s">
        <v>199</v>
      </c>
      <c r="BY3" s="89" t="s">
        <v>200</v>
      </c>
      <c r="BZ3" s="89" t="s">
        <v>177</v>
      </c>
      <c r="CA3" s="256" t="s">
        <v>201</v>
      </c>
      <c r="CB3" s="256" t="s">
        <v>202</v>
      </c>
      <c r="CC3" s="89" t="s">
        <v>203</v>
      </c>
      <c r="CD3" s="256" t="s">
        <v>204</v>
      </c>
      <c r="CE3" s="264" t="s">
        <v>24</v>
      </c>
      <c r="CF3" s="264" t="s">
        <v>289</v>
      </c>
    </row>
    <row r="4" spans="1:84" ht="12.75">
      <c r="A4" s="105">
        <f>IF(Demography!A3="","",Demography!A3)</f>
        <v>970</v>
      </c>
      <c r="B4" s="108">
        <v>5</v>
      </c>
      <c r="C4" s="108">
        <v>3</v>
      </c>
      <c r="D4" s="108">
        <v>4</v>
      </c>
      <c r="E4" s="108">
        <v>3</v>
      </c>
      <c r="F4" s="108">
        <v>4</v>
      </c>
      <c r="G4" s="108">
        <v>3</v>
      </c>
      <c r="H4" s="108">
        <v>3</v>
      </c>
      <c r="I4" s="108">
        <v>1</v>
      </c>
      <c r="J4" s="108">
        <v>4</v>
      </c>
      <c r="K4" s="108">
        <v>2</v>
      </c>
      <c r="L4" s="108">
        <v>4</v>
      </c>
      <c r="M4" s="108">
        <v>2</v>
      </c>
      <c r="N4" s="108">
        <v>2</v>
      </c>
      <c r="O4" s="108">
        <v>1</v>
      </c>
      <c r="P4" s="108">
        <v>2</v>
      </c>
      <c r="Q4" s="108">
        <v>2</v>
      </c>
      <c r="R4" s="108">
        <v>1</v>
      </c>
      <c r="S4" s="108">
        <v>4</v>
      </c>
      <c r="T4" s="108">
        <v>4</v>
      </c>
      <c r="U4" s="108" t="s">
        <v>34</v>
      </c>
      <c r="V4" s="108">
        <v>2</v>
      </c>
      <c r="W4" s="108">
        <v>3</v>
      </c>
      <c r="X4" s="108">
        <v>3</v>
      </c>
      <c r="Y4" s="108">
        <v>2</v>
      </c>
      <c r="Z4" s="108">
        <v>1</v>
      </c>
      <c r="AA4" s="108">
        <v>2</v>
      </c>
      <c r="AB4" s="108">
        <v>2</v>
      </c>
      <c r="AC4" s="108">
        <v>1</v>
      </c>
      <c r="AD4" s="108">
        <v>2</v>
      </c>
      <c r="AE4" s="108">
        <v>5</v>
      </c>
      <c r="AF4" s="108">
        <v>5</v>
      </c>
      <c r="AG4" s="108">
        <v>2</v>
      </c>
      <c r="AH4" s="108">
        <v>5</v>
      </c>
      <c r="AI4" s="108">
        <v>1</v>
      </c>
      <c r="AJ4" s="108">
        <v>3</v>
      </c>
      <c r="AK4" s="108">
        <v>4</v>
      </c>
      <c r="AL4" s="108">
        <v>2</v>
      </c>
      <c r="AM4" s="108">
        <v>3</v>
      </c>
      <c r="AN4" s="108">
        <v>1</v>
      </c>
      <c r="AO4" s="108">
        <v>3</v>
      </c>
      <c r="AP4" s="108">
        <v>2</v>
      </c>
      <c r="AQ4" s="108">
        <v>4</v>
      </c>
      <c r="AR4" s="133">
        <v>2.03</v>
      </c>
      <c r="AS4" s="133">
        <v>0.78</v>
      </c>
      <c r="AT4" s="133">
        <v>1.02</v>
      </c>
      <c r="AU4" s="133">
        <v>0.02</v>
      </c>
      <c r="AV4" s="133">
        <v>1.38</v>
      </c>
      <c r="AW4" s="133">
        <v>0.2</v>
      </c>
      <c r="AX4" s="133">
        <v>-0.1</v>
      </c>
      <c r="AY4" s="133">
        <v>-1.72</v>
      </c>
      <c r="AZ4" s="133">
        <v>0.66</v>
      </c>
      <c r="BA4" s="133">
        <v>-0.88</v>
      </c>
      <c r="BB4" s="133">
        <v>0.3</v>
      </c>
      <c r="BC4" s="133">
        <v>-1.62</v>
      </c>
      <c r="BD4" s="133">
        <v>-1.5</v>
      </c>
      <c r="BE4" s="133">
        <v>-1.8</v>
      </c>
      <c r="BF4" s="133">
        <v>1.46</v>
      </c>
      <c r="BG4" s="133">
        <v>2.47</v>
      </c>
      <c r="BH4" s="133">
        <v>-0.26</v>
      </c>
      <c r="BI4" s="133">
        <v>0.08</v>
      </c>
      <c r="BJ4" s="133">
        <v>-1.09</v>
      </c>
      <c r="BK4" s="133">
        <v>-0.93</v>
      </c>
      <c r="BL4" s="133">
        <v>-1.61</v>
      </c>
      <c r="BM4" s="133">
        <v>-0.48</v>
      </c>
      <c r="BN4" s="133">
        <v>-0.84</v>
      </c>
      <c r="BO4" s="133">
        <v>-2</v>
      </c>
      <c r="BP4" s="133">
        <v>-1.1</v>
      </c>
      <c r="BQ4" s="133">
        <v>1.07</v>
      </c>
      <c r="BR4" s="133">
        <v>2.01</v>
      </c>
      <c r="BS4" s="133">
        <v>-0.06000000000000005</v>
      </c>
      <c r="BT4" s="133">
        <v>1.95</v>
      </c>
      <c r="BU4" s="133">
        <v>-2.76</v>
      </c>
      <c r="BV4" s="133">
        <v>-0.09</v>
      </c>
      <c r="BW4" s="133">
        <v>1.08</v>
      </c>
      <c r="BX4" s="133">
        <v>-1.22</v>
      </c>
      <c r="BY4" s="133">
        <v>-0.91</v>
      </c>
      <c r="BZ4" s="133" t="s">
        <v>34</v>
      </c>
      <c r="CA4" s="133">
        <v>-2.02</v>
      </c>
      <c r="CB4" s="133">
        <v>0.26</v>
      </c>
      <c r="CC4" s="133">
        <v>-1.23</v>
      </c>
      <c r="CD4" s="133">
        <v>0.15</v>
      </c>
      <c r="CE4" s="133">
        <v>-0.1921052631578947</v>
      </c>
      <c r="CF4" s="133">
        <v>-0.09685858373664767</v>
      </c>
    </row>
    <row r="5" spans="1:84" ht="12.75">
      <c r="A5" s="105">
        <f>IF(Demography!A4="","",Demography!A4)</f>
        <v>979</v>
      </c>
      <c r="B5" s="108">
        <v>3</v>
      </c>
      <c r="C5" s="108">
        <v>3</v>
      </c>
      <c r="D5" s="108">
        <v>5</v>
      </c>
      <c r="E5" s="108">
        <v>3</v>
      </c>
      <c r="F5" s="108">
        <v>3</v>
      </c>
      <c r="G5" s="108">
        <v>4</v>
      </c>
      <c r="H5" s="108">
        <v>4</v>
      </c>
      <c r="I5" s="108">
        <v>3</v>
      </c>
      <c r="J5" s="108">
        <v>4</v>
      </c>
      <c r="K5" s="108">
        <v>4</v>
      </c>
      <c r="L5" s="108">
        <v>3</v>
      </c>
      <c r="M5" s="108">
        <v>1</v>
      </c>
      <c r="N5" s="108">
        <v>3</v>
      </c>
      <c r="O5" s="108">
        <v>3</v>
      </c>
      <c r="P5" s="108">
        <v>2</v>
      </c>
      <c r="Q5" s="108">
        <v>2</v>
      </c>
      <c r="R5" s="108">
        <v>1</v>
      </c>
      <c r="S5" s="108">
        <v>1</v>
      </c>
      <c r="T5" s="108" t="s">
        <v>34</v>
      </c>
      <c r="U5" s="108" t="s">
        <v>34</v>
      </c>
      <c r="V5" s="108">
        <v>1</v>
      </c>
      <c r="W5" s="108">
        <v>1</v>
      </c>
      <c r="X5" s="108">
        <v>3</v>
      </c>
      <c r="Y5" s="108">
        <v>1</v>
      </c>
      <c r="Z5" s="108">
        <v>1</v>
      </c>
      <c r="AA5" s="108">
        <v>1</v>
      </c>
      <c r="AB5" s="108">
        <v>4</v>
      </c>
      <c r="AC5" s="108">
        <v>4</v>
      </c>
      <c r="AD5" s="108">
        <v>2</v>
      </c>
      <c r="AE5" s="108">
        <v>6</v>
      </c>
      <c r="AF5" s="108">
        <v>4</v>
      </c>
      <c r="AG5" s="108">
        <v>4</v>
      </c>
      <c r="AH5" s="108">
        <v>2</v>
      </c>
      <c r="AI5" s="108">
        <v>3</v>
      </c>
      <c r="AJ5" s="108">
        <v>4</v>
      </c>
      <c r="AK5" s="108">
        <v>5</v>
      </c>
      <c r="AL5" s="108">
        <v>3</v>
      </c>
      <c r="AM5" s="108">
        <v>4</v>
      </c>
      <c r="AN5" s="108">
        <v>2</v>
      </c>
      <c r="AO5" s="108">
        <v>1</v>
      </c>
      <c r="AP5" s="108">
        <v>1</v>
      </c>
      <c r="AQ5" s="108">
        <v>1</v>
      </c>
      <c r="AR5" s="133">
        <v>0.02</v>
      </c>
      <c r="AS5" s="133">
        <v>0.78</v>
      </c>
      <c r="AT5" s="133">
        <v>2.32</v>
      </c>
      <c r="AU5" s="133">
        <v>0.02</v>
      </c>
      <c r="AV5" s="133">
        <v>0.67</v>
      </c>
      <c r="AW5" s="133">
        <v>0.91</v>
      </c>
      <c r="AX5" s="133">
        <v>0.61</v>
      </c>
      <c r="AY5" s="133">
        <v>0.27</v>
      </c>
      <c r="AZ5" s="133">
        <v>0.66</v>
      </c>
      <c r="BA5" s="133">
        <v>0.6</v>
      </c>
      <c r="BB5" s="133">
        <v>-0.41</v>
      </c>
      <c r="BC5" s="133">
        <v>-2.84</v>
      </c>
      <c r="BD5" s="133">
        <v>-0.73</v>
      </c>
      <c r="BE5" s="133">
        <v>0.19</v>
      </c>
      <c r="BF5" s="133">
        <v>-1.24</v>
      </c>
      <c r="BG5" s="133" t="s">
        <v>34</v>
      </c>
      <c r="BH5" s="133">
        <v>-1.48</v>
      </c>
      <c r="BI5" s="133">
        <v>-1.91</v>
      </c>
      <c r="BJ5" s="133">
        <v>-1.09</v>
      </c>
      <c r="BK5" s="133">
        <v>-2.15</v>
      </c>
      <c r="BL5" s="133">
        <v>-1.61</v>
      </c>
      <c r="BM5" s="133">
        <v>-1.7</v>
      </c>
      <c r="BN5" s="133">
        <v>0.64</v>
      </c>
      <c r="BO5" s="133">
        <v>0.7</v>
      </c>
      <c r="BP5" s="133">
        <v>-1.1</v>
      </c>
      <c r="BQ5" s="133">
        <v>1.07</v>
      </c>
      <c r="BR5" s="133">
        <v>0.71</v>
      </c>
      <c r="BS5" s="133">
        <v>1.42</v>
      </c>
      <c r="BT5" s="133">
        <v>-0.83</v>
      </c>
      <c r="BU5" s="133">
        <v>-0.77</v>
      </c>
      <c r="BV5" s="133">
        <v>0.62</v>
      </c>
      <c r="BW5" s="133">
        <v>2.38</v>
      </c>
      <c r="BX5" s="133">
        <v>-0.45</v>
      </c>
      <c r="BY5" s="133">
        <v>-0.2</v>
      </c>
      <c r="BZ5" s="133" t="s">
        <v>34</v>
      </c>
      <c r="CA5" s="133">
        <v>-0.8</v>
      </c>
      <c r="CB5" s="133">
        <v>-1.73</v>
      </c>
      <c r="CC5" s="133">
        <v>-2.45</v>
      </c>
      <c r="CD5" s="133">
        <v>-2.55</v>
      </c>
      <c r="CE5" s="133">
        <v>-0.30945945945945946</v>
      </c>
      <c r="CF5" s="133">
        <v>-0.14886604073903859</v>
      </c>
    </row>
    <row r="6" spans="1:84" ht="12.75">
      <c r="A6" s="105">
        <f>IF(Demography!A5="","",Demography!A5)</f>
        <v>1035</v>
      </c>
      <c r="B6" s="108">
        <v>2</v>
      </c>
      <c r="C6" s="108">
        <v>2</v>
      </c>
      <c r="D6" s="108">
        <v>3</v>
      </c>
      <c r="E6" s="108">
        <v>2</v>
      </c>
      <c r="F6" s="108">
        <v>2</v>
      </c>
      <c r="G6" s="108">
        <v>2</v>
      </c>
      <c r="H6" s="108">
        <v>2</v>
      </c>
      <c r="I6" s="108">
        <v>1</v>
      </c>
      <c r="J6" s="108">
        <v>1</v>
      </c>
      <c r="K6" s="108">
        <v>2</v>
      </c>
      <c r="L6" s="108">
        <v>1</v>
      </c>
      <c r="M6" s="108">
        <v>1</v>
      </c>
      <c r="N6" s="108">
        <v>2</v>
      </c>
      <c r="O6" s="108">
        <v>1</v>
      </c>
      <c r="P6" s="108">
        <v>2</v>
      </c>
      <c r="Q6" s="108">
        <v>2</v>
      </c>
      <c r="R6" s="108">
        <v>1</v>
      </c>
      <c r="S6" s="108" t="s">
        <v>34</v>
      </c>
      <c r="T6" s="108" t="s">
        <v>34</v>
      </c>
      <c r="U6" s="108" t="s">
        <v>34</v>
      </c>
      <c r="V6" s="108">
        <v>2</v>
      </c>
      <c r="W6" s="108">
        <v>3</v>
      </c>
      <c r="X6" s="108">
        <v>3</v>
      </c>
      <c r="Y6" s="108">
        <v>5</v>
      </c>
      <c r="Z6" s="108">
        <v>3</v>
      </c>
      <c r="AA6" s="108">
        <v>5</v>
      </c>
      <c r="AB6" s="108">
        <v>4</v>
      </c>
      <c r="AC6" s="108">
        <v>2</v>
      </c>
      <c r="AD6" s="108">
        <v>4</v>
      </c>
      <c r="AE6" s="108">
        <v>8</v>
      </c>
      <c r="AF6" s="108">
        <v>5</v>
      </c>
      <c r="AG6" s="108">
        <v>3</v>
      </c>
      <c r="AH6" s="108">
        <v>2</v>
      </c>
      <c r="AI6" s="108">
        <v>2</v>
      </c>
      <c r="AJ6" s="108">
        <v>3</v>
      </c>
      <c r="AK6" s="108">
        <v>3</v>
      </c>
      <c r="AL6" s="108">
        <v>1</v>
      </c>
      <c r="AM6" s="108">
        <v>1</v>
      </c>
      <c r="AN6" s="108">
        <v>2</v>
      </c>
      <c r="AO6" s="108">
        <v>3</v>
      </c>
      <c r="AP6" s="108">
        <v>4</v>
      </c>
      <c r="AQ6" s="108">
        <v>5</v>
      </c>
      <c r="AR6" s="133">
        <v>-0.75</v>
      </c>
      <c r="AS6" s="133">
        <v>0.01</v>
      </c>
      <c r="AT6" s="133">
        <v>0.31</v>
      </c>
      <c r="AU6" s="133">
        <v>-0.75</v>
      </c>
      <c r="AV6" s="133">
        <v>-0.1</v>
      </c>
      <c r="AW6" s="133">
        <v>-0.57</v>
      </c>
      <c r="AX6" s="133">
        <v>-0.87</v>
      </c>
      <c r="AY6" s="133">
        <v>-1.72</v>
      </c>
      <c r="AZ6" s="133">
        <v>-2.04</v>
      </c>
      <c r="BA6" s="133">
        <v>-0.88</v>
      </c>
      <c r="BB6" s="133">
        <v>-2.4</v>
      </c>
      <c r="BC6" s="133">
        <v>-2.84</v>
      </c>
      <c r="BD6" s="133">
        <v>-1.5</v>
      </c>
      <c r="BE6" s="133">
        <v>-1.8</v>
      </c>
      <c r="BF6" s="133" t="s">
        <v>34</v>
      </c>
      <c r="BG6" s="133" t="s">
        <v>34</v>
      </c>
      <c r="BH6" s="133">
        <v>-0.26</v>
      </c>
      <c r="BI6" s="133">
        <v>0.08</v>
      </c>
      <c r="BJ6" s="133">
        <v>-1.09</v>
      </c>
      <c r="BK6" s="133">
        <v>1.85</v>
      </c>
      <c r="BL6" s="133">
        <v>0.38</v>
      </c>
      <c r="BM6" s="133">
        <v>2.3</v>
      </c>
      <c r="BN6" s="133">
        <v>0.64</v>
      </c>
      <c r="BO6" s="133">
        <v>-0.78</v>
      </c>
      <c r="BP6" s="133">
        <v>0.38</v>
      </c>
      <c r="BQ6" s="133">
        <v>1.07</v>
      </c>
      <c r="BR6" s="133">
        <v>2.01</v>
      </c>
      <c r="BS6" s="133">
        <v>0.71</v>
      </c>
      <c r="BT6" s="133">
        <v>-0.83</v>
      </c>
      <c r="BU6" s="133">
        <v>-1.54</v>
      </c>
      <c r="BV6" s="133">
        <v>-0.09</v>
      </c>
      <c r="BW6" s="133">
        <v>0.37</v>
      </c>
      <c r="BX6" s="133">
        <v>-2.44</v>
      </c>
      <c r="BY6" s="133">
        <v>-2.9</v>
      </c>
      <c r="BZ6" s="133" t="s">
        <v>34</v>
      </c>
      <c r="CA6" s="133">
        <v>-0.8</v>
      </c>
      <c r="CB6" s="133">
        <v>0.26</v>
      </c>
      <c r="CC6" s="133">
        <v>0.25</v>
      </c>
      <c r="CD6" s="133">
        <v>1.45</v>
      </c>
      <c r="CE6" s="133">
        <v>-0.41333333333333333</v>
      </c>
      <c r="CF6" s="133">
        <v>-0.19578709407501577</v>
      </c>
    </row>
    <row r="7" spans="1:85" ht="12.75">
      <c r="A7" s="105">
        <f>IF(Demography!A6="","",Demography!A6)</f>
        <v>1018</v>
      </c>
      <c r="B7" s="108">
        <v>2</v>
      </c>
      <c r="C7" s="108">
        <v>2</v>
      </c>
      <c r="D7" s="108">
        <v>2</v>
      </c>
      <c r="E7" s="108">
        <v>1</v>
      </c>
      <c r="F7" s="105">
        <v>2</v>
      </c>
      <c r="G7" s="105">
        <v>2</v>
      </c>
      <c r="H7" s="105">
        <v>2</v>
      </c>
      <c r="I7" s="105">
        <v>2</v>
      </c>
      <c r="J7" s="105">
        <v>2</v>
      </c>
      <c r="K7" s="105">
        <v>2</v>
      </c>
      <c r="L7" s="105">
        <v>2</v>
      </c>
      <c r="M7" s="105">
        <v>1</v>
      </c>
      <c r="N7" s="105">
        <v>1</v>
      </c>
      <c r="O7" s="105">
        <v>1</v>
      </c>
      <c r="P7" s="105">
        <v>2</v>
      </c>
      <c r="Q7" s="105">
        <v>1</v>
      </c>
      <c r="R7" s="105" t="s">
        <v>34</v>
      </c>
      <c r="S7" s="105" t="s">
        <v>34</v>
      </c>
      <c r="T7" s="105" t="s">
        <v>34</v>
      </c>
      <c r="U7" s="105" t="s">
        <v>34</v>
      </c>
      <c r="V7" s="105">
        <v>5</v>
      </c>
      <c r="W7" s="105">
        <v>5</v>
      </c>
      <c r="X7" s="105">
        <v>5</v>
      </c>
      <c r="Y7" s="105">
        <v>5</v>
      </c>
      <c r="Z7" s="105">
        <v>4</v>
      </c>
      <c r="AA7" s="105">
        <v>5</v>
      </c>
      <c r="AB7" s="105">
        <v>5</v>
      </c>
      <c r="AC7" s="105">
        <v>5</v>
      </c>
      <c r="AD7" s="105">
        <v>5</v>
      </c>
      <c r="AE7" s="105">
        <v>9</v>
      </c>
      <c r="AF7" s="105">
        <v>9</v>
      </c>
      <c r="AG7" s="105">
        <v>1</v>
      </c>
      <c r="AH7" s="105">
        <v>1</v>
      </c>
      <c r="AI7" s="105">
        <v>1</v>
      </c>
      <c r="AJ7" s="105">
        <v>1</v>
      </c>
      <c r="AK7" s="105">
        <v>3</v>
      </c>
      <c r="AL7" s="105">
        <v>1</v>
      </c>
      <c r="AM7" s="105">
        <v>1</v>
      </c>
      <c r="AN7" s="105">
        <v>5</v>
      </c>
      <c r="AO7" s="105">
        <v>5</v>
      </c>
      <c r="AP7" s="105">
        <v>5</v>
      </c>
      <c r="AQ7" s="105">
        <v>5</v>
      </c>
      <c r="AR7" s="324">
        <v>-2.34666666666667</v>
      </c>
      <c r="AS7" s="324">
        <v>-0.246666666666666</v>
      </c>
      <c r="AT7" s="324">
        <v>0.506666666666667</v>
      </c>
      <c r="AU7" s="324">
        <v>-1.00666666666667</v>
      </c>
      <c r="AV7" s="324">
        <v>-0.830000000000001</v>
      </c>
      <c r="AW7" s="324">
        <v>-0.59</v>
      </c>
      <c r="AX7" s="324">
        <v>-0.89</v>
      </c>
      <c r="AY7" s="324">
        <v>-1.05666666666667</v>
      </c>
      <c r="AZ7" s="324">
        <v>-2.94</v>
      </c>
      <c r="BA7" s="324">
        <v>-0.386666666666667</v>
      </c>
      <c r="BB7" s="324">
        <v>-3.53666666666667</v>
      </c>
      <c r="BC7" s="324">
        <v>-3.65333333333333</v>
      </c>
      <c r="BD7" s="324">
        <v>-1.24333333333333</v>
      </c>
      <c r="BE7" s="324">
        <v>-1.13666666666667</v>
      </c>
      <c r="BF7" s="324">
        <v>-3.94</v>
      </c>
      <c r="BG7" s="324">
        <v>2.47</v>
      </c>
      <c r="BH7" s="324">
        <v>-0.666666666666667</v>
      </c>
      <c r="BI7" s="324">
        <v>-0.583333333333334</v>
      </c>
      <c r="BJ7" s="324">
        <v>-1.09</v>
      </c>
      <c r="BK7" s="324">
        <v>2.37</v>
      </c>
      <c r="BL7" s="324">
        <v>1.04333333333333</v>
      </c>
      <c r="BM7" s="324">
        <v>2.82</v>
      </c>
      <c r="BN7" s="324">
        <v>1.62666666666667</v>
      </c>
      <c r="BO7" s="324">
        <v>0.526666666666667</v>
      </c>
      <c r="BP7" s="324">
        <v>0.873333333333333</v>
      </c>
      <c r="BQ7" s="324">
        <v>1.07</v>
      </c>
      <c r="BR7" s="324">
        <v>1.57666666666667</v>
      </c>
      <c r="BS7" s="324">
        <v>1.46</v>
      </c>
      <c r="BT7" s="324">
        <v>-2.68333333333333</v>
      </c>
      <c r="BU7" s="324">
        <v>-0.47</v>
      </c>
      <c r="BV7" s="324">
        <v>0.146666666666666</v>
      </c>
      <c r="BW7" s="324">
        <v>0.566666666666667</v>
      </c>
      <c r="BX7" s="324">
        <v>-2.59</v>
      </c>
      <c r="BY7" s="324">
        <v>-3.32666666666667</v>
      </c>
      <c r="BZ7" s="324" t="s">
        <v>34</v>
      </c>
      <c r="CA7" s="324">
        <v>0.0133333333333336</v>
      </c>
      <c r="CB7" s="324">
        <v>-0.403333333333333</v>
      </c>
      <c r="CC7" s="324">
        <v>0.336666666666667</v>
      </c>
      <c r="CD7" s="324">
        <v>0.983333333333333</v>
      </c>
      <c r="CE7" s="324">
        <v>-0.05194444444444456</v>
      </c>
      <c r="CF7" s="324">
        <v>-0.03560795426964818</v>
      </c>
      <c r="CG7" s="22"/>
    </row>
    <row r="8" spans="1:85" ht="12.75">
      <c r="A8" s="316">
        <f>IF(Demography!A7="","",Demography!A7)</f>
        <v>1106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22"/>
    </row>
    <row r="9" spans="1:85" ht="12.75">
      <c r="A9" s="105">
        <f>IF(Demography!A8="","",Demography!A8)</f>
        <v>1109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22"/>
    </row>
    <row r="10" spans="1:85" ht="12.75">
      <c r="A10" s="316">
        <f>IF(Demography!A9="","",Demography!A9)</f>
        <v>1054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22"/>
    </row>
    <row r="11" spans="1:85" ht="12.75">
      <c r="A11" s="105">
        <f>IF(Demography!A10="","",Demography!A10)</f>
        <v>1141</v>
      </c>
      <c r="B11" s="105">
        <v>3</v>
      </c>
      <c r="C11" s="105">
        <v>2</v>
      </c>
      <c r="D11" s="105">
        <v>3</v>
      </c>
      <c r="E11" s="105">
        <v>1</v>
      </c>
      <c r="F11" s="105">
        <v>2</v>
      </c>
      <c r="G11" s="105">
        <v>2</v>
      </c>
      <c r="H11" s="105">
        <v>3</v>
      </c>
      <c r="I11" s="105">
        <v>2</v>
      </c>
      <c r="J11" s="105">
        <v>3</v>
      </c>
      <c r="K11" s="105">
        <v>3</v>
      </c>
      <c r="L11" s="105">
        <v>2</v>
      </c>
      <c r="M11" s="105">
        <v>3</v>
      </c>
      <c r="N11" s="105">
        <v>1</v>
      </c>
      <c r="O11" s="105">
        <v>1</v>
      </c>
      <c r="P11" s="105">
        <v>2</v>
      </c>
      <c r="Q11" s="105">
        <v>2</v>
      </c>
      <c r="R11" s="105">
        <v>3</v>
      </c>
      <c r="S11" s="105" t="s">
        <v>34</v>
      </c>
      <c r="T11" s="105" t="s">
        <v>34</v>
      </c>
      <c r="U11" s="105" t="s">
        <v>34</v>
      </c>
      <c r="V11" s="105">
        <v>3</v>
      </c>
      <c r="W11" s="105">
        <v>4</v>
      </c>
      <c r="X11" s="105">
        <v>5</v>
      </c>
      <c r="Y11" s="105">
        <v>5</v>
      </c>
      <c r="Z11" s="105">
        <v>2</v>
      </c>
      <c r="AA11" s="105">
        <v>2</v>
      </c>
      <c r="AB11" s="105">
        <v>4</v>
      </c>
      <c r="AC11" s="105">
        <v>4</v>
      </c>
      <c r="AD11" s="105">
        <v>4</v>
      </c>
      <c r="AE11" s="105">
        <v>8</v>
      </c>
      <c r="AF11" s="105">
        <v>8</v>
      </c>
      <c r="AG11" s="105">
        <v>1</v>
      </c>
      <c r="AH11" s="105">
        <v>1</v>
      </c>
      <c r="AI11" s="105">
        <v>1</v>
      </c>
      <c r="AJ11" s="105">
        <v>2</v>
      </c>
      <c r="AK11" s="105">
        <v>2</v>
      </c>
      <c r="AL11" s="105">
        <v>1</v>
      </c>
      <c r="AM11" s="105">
        <v>1</v>
      </c>
      <c r="AN11" s="105">
        <v>3</v>
      </c>
      <c r="AO11" s="105">
        <v>3</v>
      </c>
      <c r="AP11" s="105">
        <v>4</v>
      </c>
      <c r="AQ11" s="105">
        <v>4</v>
      </c>
      <c r="AR11" s="324">
        <v>0.02</v>
      </c>
      <c r="AS11" s="324">
        <v>0.01</v>
      </c>
      <c r="AT11" s="324">
        <v>0.31</v>
      </c>
      <c r="AU11" s="324">
        <v>-1.97</v>
      </c>
      <c r="AV11" s="324">
        <v>-0.1</v>
      </c>
      <c r="AW11" s="324">
        <v>-0.57</v>
      </c>
      <c r="AX11" s="324">
        <v>-0.1</v>
      </c>
      <c r="AY11" s="324">
        <v>-0.5</v>
      </c>
      <c r="AZ11" s="324">
        <v>-0.05</v>
      </c>
      <c r="BA11" s="324">
        <v>-0.11</v>
      </c>
      <c r="BB11" s="324">
        <v>-1.18</v>
      </c>
      <c r="BC11" s="324">
        <v>-0.85</v>
      </c>
      <c r="BD11" s="324">
        <v>-2.72</v>
      </c>
      <c r="BE11" s="324">
        <v>-1.8</v>
      </c>
      <c r="BF11" s="324" t="s">
        <v>34</v>
      </c>
      <c r="BG11" s="324" t="s">
        <v>34</v>
      </c>
      <c r="BH11" s="324">
        <v>0.51</v>
      </c>
      <c r="BI11" s="324">
        <v>0.79</v>
      </c>
      <c r="BJ11" s="324">
        <v>0.92</v>
      </c>
      <c r="BK11" s="324">
        <v>1.85</v>
      </c>
      <c r="BL11" s="324">
        <v>-0.39</v>
      </c>
      <c r="BM11" s="324">
        <v>-0.48</v>
      </c>
      <c r="BN11" s="324">
        <v>0.64</v>
      </c>
      <c r="BO11" s="324">
        <v>0.7</v>
      </c>
      <c r="BP11" s="324">
        <v>0.38</v>
      </c>
      <c r="BQ11" s="324">
        <v>1.07</v>
      </c>
      <c r="BR11" s="324">
        <v>2.01</v>
      </c>
      <c r="BS11" s="324">
        <v>-1.28</v>
      </c>
      <c r="BT11" s="324">
        <v>-2.05</v>
      </c>
      <c r="BU11" s="324">
        <v>-2.76</v>
      </c>
      <c r="BV11" s="324">
        <v>-0.86</v>
      </c>
      <c r="BW11" s="324">
        <v>-0.4</v>
      </c>
      <c r="BX11" s="324">
        <v>-2.44</v>
      </c>
      <c r="BY11" s="324">
        <v>-2.9</v>
      </c>
      <c r="BZ11" s="324" t="s">
        <v>34</v>
      </c>
      <c r="CA11" s="324">
        <v>-0.03</v>
      </c>
      <c r="CB11" s="324">
        <v>0.26</v>
      </c>
      <c r="CC11" s="324">
        <v>0.25</v>
      </c>
      <c r="CD11" s="324">
        <v>0.15</v>
      </c>
      <c r="CE11" s="324">
        <v>-0.3797222222222222</v>
      </c>
      <c r="CF11" s="324">
        <v>-0.18049399245098569</v>
      </c>
      <c r="CG11" s="22"/>
    </row>
    <row r="12" spans="1:85" ht="12.75">
      <c r="A12" s="105">
        <f>IF(Demography!A11="","",Demography!A11)</f>
        <v>992</v>
      </c>
      <c r="B12" s="105">
        <v>2</v>
      </c>
      <c r="C12" s="105">
        <v>2</v>
      </c>
      <c r="D12" s="105">
        <v>3</v>
      </c>
      <c r="E12" s="105">
        <v>1</v>
      </c>
      <c r="F12" s="105">
        <v>2</v>
      </c>
      <c r="G12" s="105">
        <v>2</v>
      </c>
      <c r="H12" s="105">
        <v>3</v>
      </c>
      <c r="I12" s="105">
        <v>2</v>
      </c>
      <c r="J12" s="105">
        <v>2</v>
      </c>
      <c r="K12" s="105">
        <v>2</v>
      </c>
      <c r="L12" s="105">
        <v>2</v>
      </c>
      <c r="M12" s="105">
        <v>1</v>
      </c>
      <c r="N12" s="105">
        <v>1</v>
      </c>
      <c r="O12" s="105">
        <v>1</v>
      </c>
      <c r="P12" s="105">
        <v>2</v>
      </c>
      <c r="Q12" s="105" t="s">
        <v>34</v>
      </c>
      <c r="R12" s="105" t="s">
        <v>34</v>
      </c>
      <c r="S12" s="105" t="s">
        <v>34</v>
      </c>
      <c r="T12" s="105" t="s">
        <v>34</v>
      </c>
      <c r="U12" s="105" t="s">
        <v>34</v>
      </c>
      <c r="V12" s="105">
        <v>2</v>
      </c>
      <c r="W12" s="105">
        <v>5</v>
      </c>
      <c r="X12" s="105">
        <v>5</v>
      </c>
      <c r="Y12" s="105">
        <v>5</v>
      </c>
      <c r="Z12" s="105">
        <v>4</v>
      </c>
      <c r="AA12" s="105">
        <v>4</v>
      </c>
      <c r="AB12" s="105">
        <v>5</v>
      </c>
      <c r="AC12" s="105">
        <v>5</v>
      </c>
      <c r="AD12" s="105">
        <v>5</v>
      </c>
      <c r="AE12" s="105">
        <v>9</v>
      </c>
      <c r="AF12" s="105">
        <v>9</v>
      </c>
      <c r="AG12" s="105">
        <v>1</v>
      </c>
      <c r="AH12" s="105">
        <v>1</v>
      </c>
      <c r="AI12" s="105">
        <v>1</v>
      </c>
      <c r="AJ12" s="105">
        <v>1</v>
      </c>
      <c r="AK12" s="105">
        <v>3</v>
      </c>
      <c r="AL12" s="105">
        <v>1</v>
      </c>
      <c r="AM12" s="105">
        <v>2</v>
      </c>
      <c r="AN12" s="105">
        <v>4</v>
      </c>
      <c r="AO12" s="105">
        <v>4</v>
      </c>
      <c r="AP12" s="105">
        <v>4</v>
      </c>
      <c r="AQ12" s="105">
        <v>5</v>
      </c>
      <c r="AR12" s="324">
        <v>-0.75</v>
      </c>
      <c r="AS12" s="324">
        <v>0.01</v>
      </c>
      <c r="AT12" s="324">
        <v>0.31</v>
      </c>
      <c r="AU12" s="324">
        <v>-1.97</v>
      </c>
      <c r="AV12" s="324">
        <v>-0.1</v>
      </c>
      <c r="AW12" s="324">
        <v>-0.57</v>
      </c>
      <c r="AX12" s="324">
        <v>-0.1</v>
      </c>
      <c r="AY12" s="324">
        <v>-0.5</v>
      </c>
      <c r="AZ12" s="324">
        <v>-0.82</v>
      </c>
      <c r="BA12" s="324">
        <v>-0.88</v>
      </c>
      <c r="BB12" s="324">
        <v>-1.18</v>
      </c>
      <c r="BC12" s="324">
        <v>-2.84</v>
      </c>
      <c r="BD12" s="324">
        <v>-2.72</v>
      </c>
      <c r="BE12" s="324">
        <v>-1.8</v>
      </c>
      <c r="BF12" s="324" t="s">
        <v>34</v>
      </c>
      <c r="BG12" s="324" t="s">
        <v>34</v>
      </c>
      <c r="BH12" s="324">
        <v>-0.26</v>
      </c>
      <c r="BI12" s="324">
        <v>2.09</v>
      </c>
      <c r="BJ12" s="324">
        <v>0.92</v>
      </c>
      <c r="BK12" s="324">
        <v>1.85</v>
      </c>
      <c r="BL12" s="324">
        <v>1.09</v>
      </c>
      <c r="BM12" s="324">
        <v>1</v>
      </c>
      <c r="BN12" s="324">
        <v>1.94</v>
      </c>
      <c r="BO12" s="324">
        <v>2</v>
      </c>
      <c r="BP12" s="324">
        <v>1.68</v>
      </c>
      <c r="BQ12" s="324">
        <v>1.07</v>
      </c>
      <c r="BR12" s="324">
        <v>2.01</v>
      </c>
      <c r="BS12" s="324">
        <v>-1.28</v>
      </c>
      <c r="BT12" s="324">
        <v>-2.05</v>
      </c>
      <c r="BU12" s="324">
        <v>-2.76</v>
      </c>
      <c r="BV12" s="324">
        <v>-2.08</v>
      </c>
      <c r="BW12" s="324">
        <v>0.37</v>
      </c>
      <c r="BX12" s="324">
        <v>-2.44</v>
      </c>
      <c r="BY12" s="324">
        <v>-1.68</v>
      </c>
      <c r="BZ12" s="324" t="s">
        <v>34</v>
      </c>
      <c r="CA12" s="324">
        <v>0.68</v>
      </c>
      <c r="CB12" s="324">
        <v>0.97</v>
      </c>
      <c r="CC12" s="324">
        <v>0.25</v>
      </c>
      <c r="CD12" s="324">
        <v>1.45</v>
      </c>
      <c r="CE12" s="324">
        <v>-0.19694444444444448</v>
      </c>
      <c r="CF12" s="324">
        <v>-0.09898703916758297</v>
      </c>
      <c r="CG12" s="22"/>
    </row>
    <row r="13" spans="1:85" ht="12.75">
      <c r="A13" s="105">
        <f>IF(Demography!A12="","",Demography!A12)</f>
        <v>1163</v>
      </c>
      <c r="B13" s="105">
        <v>2</v>
      </c>
      <c r="C13" s="105">
        <v>2</v>
      </c>
      <c r="D13" s="105">
        <v>2</v>
      </c>
      <c r="E13" s="105">
        <v>1</v>
      </c>
      <c r="F13" s="105">
        <v>1</v>
      </c>
      <c r="G13" s="105">
        <v>1</v>
      </c>
      <c r="H13" s="105">
        <v>1</v>
      </c>
      <c r="I13" s="105">
        <v>2</v>
      </c>
      <c r="J13" s="105">
        <v>1</v>
      </c>
      <c r="K13" s="105">
        <v>3</v>
      </c>
      <c r="L13" s="105">
        <v>1</v>
      </c>
      <c r="M13" s="105">
        <v>1</v>
      </c>
      <c r="N13" s="105">
        <v>1</v>
      </c>
      <c r="O13" s="105">
        <v>1</v>
      </c>
      <c r="P13" s="105">
        <v>1</v>
      </c>
      <c r="Q13" s="105" t="s">
        <v>34</v>
      </c>
      <c r="R13" s="105" t="s">
        <v>34</v>
      </c>
      <c r="S13" s="105">
        <v>2</v>
      </c>
      <c r="T13" s="105">
        <v>6</v>
      </c>
      <c r="U13" s="105">
        <v>6</v>
      </c>
      <c r="V13" s="105">
        <v>5</v>
      </c>
      <c r="W13" s="105">
        <v>5</v>
      </c>
      <c r="X13" s="105">
        <v>5</v>
      </c>
      <c r="Y13" s="105">
        <v>5</v>
      </c>
      <c r="Z13" s="105">
        <v>5</v>
      </c>
      <c r="AA13" s="105">
        <v>5</v>
      </c>
      <c r="AB13" s="105">
        <v>5</v>
      </c>
      <c r="AC13" s="105">
        <v>5</v>
      </c>
      <c r="AD13" s="105">
        <v>5</v>
      </c>
      <c r="AE13" s="105">
        <v>8</v>
      </c>
      <c r="AF13" s="105">
        <v>9</v>
      </c>
      <c r="AG13" s="105">
        <v>1</v>
      </c>
      <c r="AH13" s="105">
        <v>6</v>
      </c>
      <c r="AI13" s="105">
        <v>1</v>
      </c>
      <c r="AJ13" s="105">
        <v>1</v>
      </c>
      <c r="AK13" s="105">
        <v>2</v>
      </c>
      <c r="AL13" s="105">
        <v>1</v>
      </c>
      <c r="AM13" s="105">
        <v>1</v>
      </c>
      <c r="AN13" s="105">
        <v>4</v>
      </c>
      <c r="AO13" s="105">
        <v>4</v>
      </c>
      <c r="AP13" s="105">
        <v>5</v>
      </c>
      <c r="AQ13" s="105">
        <v>5</v>
      </c>
      <c r="AR13" s="324">
        <v>-0.75</v>
      </c>
      <c r="AS13" s="324">
        <v>0.01</v>
      </c>
      <c r="AT13" s="324">
        <v>-0.46</v>
      </c>
      <c r="AU13" s="324">
        <v>-1.97</v>
      </c>
      <c r="AV13" s="324">
        <v>-1.32</v>
      </c>
      <c r="AW13" s="324">
        <v>-1.79</v>
      </c>
      <c r="AX13" s="324">
        <v>-2.09</v>
      </c>
      <c r="AY13" s="324">
        <v>-0.5</v>
      </c>
      <c r="AZ13" s="324">
        <v>-2.04</v>
      </c>
      <c r="BA13" s="324">
        <v>-0.11</v>
      </c>
      <c r="BB13" s="324">
        <v>-2.4</v>
      </c>
      <c r="BC13" s="324">
        <v>-2.84</v>
      </c>
      <c r="BD13" s="324">
        <v>-2.72</v>
      </c>
      <c r="BE13" s="324">
        <v>-1.8</v>
      </c>
      <c r="BF13" s="324">
        <v>-0.02</v>
      </c>
      <c r="BG13" s="324">
        <v>3.77</v>
      </c>
      <c r="BH13" s="324">
        <v>2.52</v>
      </c>
      <c r="BI13" s="324">
        <v>2.09</v>
      </c>
      <c r="BJ13" s="324">
        <v>0.92</v>
      </c>
      <c r="BK13" s="324">
        <v>1.85</v>
      </c>
      <c r="BL13" s="324">
        <v>2.39</v>
      </c>
      <c r="BM13" s="324">
        <v>2.3</v>
      </c>
      <c r="BN13" s="324">
        <v>1.94</v>
      </c>
      <c r="BO13" s="324">
        <v>2</v>
      </c>
      <c r="BP13" s="324">
        <v>1.68</v>
      </c>
      <c r="BQ13" s="324">
        <v>1.07</v>
      </c>
      <c r="BR13" s="324">
        <v>2.01</v>
      </c>
      <c r="BS13" s="324">
        <v>-1.28</v>
      </c>
      <c r="BT13" s="324">
        <v>1.95</v>
      </c>
      <c r="BU13" s="324">
        <v>-2.76</v>
      </c>
      <c r="BV13" s="324">
        <v>-2.08</v>
      </c>
      <c r="BW13" s="324">
        <v>-0.4</v>
      </c>
      <c r="BX13" s="324">
        <v>-2.44</v>
      </c>
      <c r="BY13" s="324">
        <v>-2.9</v>
      </c>
      <c r="BZ13" s="324">
        <v>3.41</v>
      </c>
      <c r="CA13" s="324">
        <v>0.68</v>
      </c>
      <c r="CB13" s="324">
        <v>0.97</v>
      </c>
      <c r="CC13" s="324">
        <v>1.55</v>
      </c>
      <c r="CD13" s="324">
        <v>1.45</v>
      </c>
      <c r="CE13" s="324">
        <v>0.0484615384615384</v>
      </c>
      <c r="CF13" s="324">
        <v>0.008017972015848146</v>
      </c>
      <c r="CG13" s="22"/>
    </row>
    <row r="14" spans="1:85" ht="12.75">
      <c r="A14" s="105">
        <f>IF(Demography!A13="","",Demography!A13)</f>
        <v>1190</v>
      </c>
      <c r="B14" s="105">
        <v>4</v>
      </c>
      <c r="C14" s="105">
        <v>3</v>
      </c>
      <c r="D14" s="105">
        <v>4</v>
      </c>
      <c r="E14" s="105">
        <v>1</v>
      </c>
      <c r="F14" s="105">
        <v>3</v>
      </c>
      <c r="G14" s="105">
        <v>1</v>
      </c>
      <c r="H14" s="105">
        <v>4</v>
      </c>
      <c r="I14" s="105">
        <v>2</v>
      </c>
      <c r="J14" s="105">
        <v>4</v>
      </c>
      <c r="K14" s="105">
        <v>3</v>
      </c>
      <c r="L14" s="105">
        <v>2</v>
      </c>
      <c r="M14" s="105">
        <v>1</v>
      </c>
      <c r="N14" s="105">
        <v>4</v>
      </c>
      <c r="O14" s="105">
        <v>3</v>
      </c>
      <c r="P14" s="105">
        <v>2</v>
      </c>
      <c r="Q14" s="105">
        <v>2</v>
      </c>
      <c r="R14" s="105">
        <v>1</v>
      </c>
      <c r="S14" s="105" t="s">
        <v>34</v>
      </c>
      <c r="T14" s="105">
        <v>5</v>
      </c>
      <c r="U14" s="105">
        <v>5</v>
      </c>
      <c r="V14" s="105" t="s">
        <v>34</v>
      </c>
      <c r="W14" s="105">
        <v>2</v>
      </c>
      <c r="X14" s="105">
        <v>5</v>
      </c>
      <c r="Y14" s="105">
        <v>3</v>
      </c>
      <c r="Z14" s="105">
        <v>1</v>
      </c>
      <c r="AA14" s="105">
        <v>1</v>
      </c>
      <c r="AB14" s="105">
        <v>1</v>
      </c>
      <c r="AC14" s="105">
        <v>1</v>
      </c>
      <c r="AD14" s="105">
        <v>1</v>
      </c>
      <c r="AE14" s="105">
        <v>6</v>
      </c>
      <c r="AF14" s="105">
        <v>5</v>
      </c>
      <c r="AG14" s="105">
        <v>3</v>
      </c>
      <c r="AH14" s="105">
        <v>5</v>
      </c>
      <c r="AI14" s="105">
        <v>1</v>
      </c>
      <c r="AJ14" s="105">
        <v>3</v>
      </c>
      <c r="AK14" s="105">
        <v>4</v>
      </c>
      <c r="AL14" s="105">
        <v>1</v>
      </c>
      <c r="AM14" s="105">
        <v>5</v>
      </c>
      <c r="AN14" s="105">
        <v>2</v>
      </c>
      <c r="AO14" s="105">
        <v>1</v>
      </c>
      <c r="AP14" s="105">
        <v>2</v>
      </c>
      <c r="AQ14" s="105">
        <v>4</v>
      </c>
      <c r="AR14" s="324">
        <v>0.73</v>
      </c>
      <c r="AS14" s="324">
        <v>0.78</v>
      </c>
      <c r="AT14" s="324">
        <v>1.02</v>
      </c>
      <c r="AU14" s="324">
        <v>-1.97</v>
      </c>
      <c r="AV14" s="324">
        <v>0.67</v>
      </c>
      <c r="AW14" s="324">
        <v>-1.79</v>
      </c>
      <c r="AX14" s="324">
        <v>0.61</v>
      </c>
      <c r="AY14" s="324">
        <v>-0.5</v>
      </c>
      <c r="AZ14" s="324">
        <v>0.66</v>
      </c>
      <c r="BA14" s="324">
        <v>-0.11</v>
      </c>
      <c r="BB14" s="324">
        <v>-1.18</v>
      </c>
      <c r="BC14" s="324">
        <v>-2.84</v>
      </c>
      <c r="BD14" s="324">
        <v>-0.02</v>
      </c>
      <c r="BE14" s="324">
        <v>0.19</v>
      </c>
      <c r="BF14" s="324" t="s">
        <v>34</v>
      </c>
      <c r="BG14" s="324">
        <v>3.77</v>
      </c>
      <c r="BH14" s="324" t="s">
        <v>34</v>
      </c>
      <c r="BI14" s="324">
        <v>-0.69</v>
      </c>
      <c r="BJ14" s="324">
        <v>0.92</v>
      </c>
      <c r="BK14" s="324">
        <v>-0.16</v>
      </c>
      <c r="BL14" s="324">
        <v>-1.61</v>
      </c>
      <c r="BM14" s="324">
        <v>-1.7</v>
      </c>
      <c r="BN14" s="324">
        <v>-2.06</v>
      </c>
      <c r="BO14" s="324">
        <v>-2</v>
      </c>
      <c r="BP14" s="324">
        <v>-2.32</v>
      </c>
      <c r="BQ14" s="324">
        <v>1.07</v>
      </c>
      <c r="BR14" s="324">
        <v>2.01</v>
      </c>
      <c r="BS14" s="324">
        <v>0.71</v>
      </c>
      <c r="BT14" s="324">
        <v>1.95</v>
      </c>
      <c r="BU14" s="324">
        <v>-2.76</v>
      </c>
      <c r="BV14" s="324">
        <v>-0.09</v>
      </c>
      <c r="BW14" s="324">
        <v>1.08</v>
      </c>
      <c r="BX14" s="324">
        <v>-2.44</v>
      </c>
      <c r="BY14" s="324">
        <v>1.1</v>
      </c>
      <c r="BZ14" s="324">
        <v>3.41</v>
      </c>
      <c r="CA14" s="324">
        <v>-0.8</v>
      </c>
      <c r="CB14" s="324">
        <v>-1.73</v>
      </c>
      <c r="CC14" s="324">
        <v>-1.23</v>
      </c>
      <c r="CD14" s="324">
        <v>0.15</v>
      </c>
      <c r="CE14" s="324">
        <v>-0.19378378378378378</v>
      </c>
      <c r="CF14" s="324">
        <v>-0.09759672825966226</v>
      </c>
      <c r="CG14" s="22"/>
    </row>
    <row r="15" spans="1:85" ht="12.75">
      <c r="A15" s="105">
        <f>IF(Demography!A14="","",Demography!A14)</f>
        <v>1231</v>
      </c>
      <c r="B15" s="105">
        <v>2</v>
      </c>
      <c r="C15" s="105">
        <v>2</v>
      </c>
      <c r="D15" s="105">
        <v>3</v>
      </c>
      <c r="E15" s="105">
        <v>2</v>
      </c>
      <c r="F15" s="105">
        <v>3</v>
      </c>
      <c r="G15" s="105">
        <v>2</v>
      </c>
      <c r="H15" s="105">
        <v>2</v>
      </c>
      <c r="I15" s="105">
        <v>2</v>
      </c>
      <c r="J15" s="105">
        <v>3</v>
      </c>
      <c r="K15" s="105">
        <v>3</v>
      </c>
      <c r="L15" s="105">
        <v>3</v>
      </c>
      <c r="M15" s="105">
        <v>1</v>
      </c>
      <c r="N15" s="105">
        <v>3</v>
      </c>
      <c r="O15" s="105">
        <v>3</v>
      </c>
      <c r="P15" s="105">
        <v>1</v>
      </c>
      <c r="Q15" s="105" t="s">
        <v>34</v>
      </c>
      <c r="R15" s="105" t="s">
        <v>34</v>
      </c>
      <c r="S15" s="105">
        <v>1</v>
      </c>
      <c r="T15" s="105">
        <v>3</v>
      </c>
      <c r="U15" s="105">
        <v>2</v>
      </c>
      <c r="V15" s="105">
        <v>3</v>
      </c>
      <c r="W15" s="105">
        <v>3</v>
      </c>
      <c r="X15" s="105">
        <v>4</v>
      </c>
      <c r="Y15" s="105">
        <v>4</v>
      </c>
      <c r="Z15" s="105">
        <v>2</v>
      </c>
      <c r="AA15" s="105">
        <v>3</v>
      </c>
      <c r="AB15" s="105">
        <v>2</v>
      </c>
      <c r="AC15" s="105">
        <v>2</v>
      </c>
      <c r="AD15" s="105">
        <v>3</v>
      </c>
      <c r="AE15" s="105">
        <v>7</v>
      </c>
      <c r="AF15" s="105">
        <v>8</v>
      </c>
      <c r="AG15" s="105">
        <v>2</v>
      </c>
      <c r="AH15" s="105">
        <v>6</v>
      </c>
      <c r="AI15" s="105">
        <v>1</v>
      </c>
      <c r="AJ15" s="105">
        <v>2</v>
      </c>
      <c r="AK15" s="105">
        <v>4</v>
      </c>
      <c r="AL15" s="105">
        <v>1</v>
      </c>
      <c r="AM15" s="105">
        <v>2</v>
      </c>
      <c r="AN15" s="105">
        <v>3</v>
      </c>
      <c r="AO15" s="105">
        <v>3</v>
      </c>
      <c r="AP15" s="105">
        <v>2</v>
      </c>
      <c r="AQ15" s="105">
        <v>3</v>
      </c>
      <c r="AR15" s="324">
        <v>-0.75</v>
      </c>
      <c r="AS15" s="324">
        <v>0.01</v>
      </c>
      <c r="AT15" s="324">
        <v>0.31</v>
      </c>
      <c r="AU15" s="324">
        <v>-0.75</v>
      </c>
      <c r="AV15" s="324">
        <v>0.67</v>
      </c>
      <c r="AW15" s="324">
        <v>-0.57</v>
      </c>
      <c r="AX15" s="324">
        <v>-0.87</v>
      </c>
      <c r="AY15" s="324">
        <v>-0.5</v>
      </c>
      <c r="AZ15" s="324">
        <v>-0.05</v>
      </c>
      <c r="BA15" s="324">
        <v>-0.11</v>
      </c>
      <c r="BB15" s="324">
        <v>-0.41</v>
      </c>
      <c r="BC15" s="324">
        <v>-2.84</v>
      </c>
      <c r="BD15" s="324">
        <v>-0.73</v>
      </c>
      <c r="BE15" s="324">
        <v>0.19</v>
      </c>
      <c r="BF15" s="324">
        <v>-1.24</v>
      </c>
      <c r="BG15" s="324">
        <v>1.76</v>
      </c>
      <c r="BH15" s="324">
        <v>0.51</v>
      </c>
      <c r="BI15" s="324">
        <v>0.08</v>
      </c>
      <c r="BJ15" s="324">
        <v>-0.38</v>
      </c>
      <c r="BK15" s="324">
        <v>0.55</v>
      </c>
      <c r="BL15" s="324">
        <v>-0.39</v>
      </c>
      <c r="BM15" s="324">
        <v>0.29</v>
      </c>
      <c r="BN15" s="324">
        <v>-0.84</v>
      </c>
      <c r="BO15" s="324">
        <v>-0.78</v>
      </c>
      <c r="BP15" s="324">
        <v>-0.33</v>
      </c>
      <c r="BQ15" s="324">
        <v>1.07</v>
      </c>
      <c r="BR15" s="324">
        <v>2.01</v>
      </c>
      <c r="BS15" s="324">
        <v>-0.06000000000000005</v>
      </c>
      <c r="BT15" s="324">
        <v>1.95</v>
      </c>
      <c r="BU15" s="324">
        <v>-2.76</v>
      </c>
      <c r="BV15" s="324">
        <v>-0.86</v>
      </c>
      <c r="BW15" s="324">
        <v>1.08</v>
      </c>
      <c r="BX15" s="324">
        <v>-2.44</v>
      </c>
      <c r="BY15" s="324">
        <v>-1.68</v>
      </c>
      <c r="BZ15" s="324">
        <v>0.63</v>
      </c>
      <c r="CA15" s="324">
        <v>-0.03</v>
      </c>
      <c r="CB15" s="324">
        <v>0.26</v>
      </c>
      <c r="CC15" s="324">
        <v>-1.23</v>
      </c>
      <c r="CD15" s="324">
        <v>-0.56</v>
      </c>
      <c r="CE15" s="324">
        <v>-0.25102564102564107</v>
      </c>
      <c r="CF15" s="324">
        <v>-0.12286076861576216</v>
      </c>
      <c r="CG15" s="22"/>
    </row>
    <row r="16" spans="1:85" ht="12.75">
      <c r="A16" s="316">
        <f>IF(Demography!A15="","",Demography!A15)</f>
        <v>1235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22"/>
    </row>
    <row r="17" spans="1:85" ht="12.75">
      <c r="A17" s="105">
        <f>IF(Demography!A16="","",Demography!A16)</f>
        <v>1249</v>
      </c>
      <c r="B17" s="105">
        <v>3</v>
      </c>
      <c r="C17" s="105">
        <v>3</v>
      </c>
      <c r="D17" s="105">
        <v>3</v>
      </c>
      <c r="E17" s="105">
        <v>2</v>
      </c>
      <c r="F17" s="105">
        <v>4</v>
      </c>
      <c r="G17" s="105">
        <v>3</v>
      </c>
      <c r="H17" s="105">
        <v>3</v>
      </c>
      <c r="I17" s="105">
        <v>3</v>
      </c>
      <c r="J17" s="105">
        <v>3</v>
      </c>
      <c r="K17" s="105">
        <v>2</v>
      </c>
      <c r="L17" s="105">
        <v>1</v>
      </c>
      <c r="M17" s="105">
        <v>1</v>
      </c>
      <c r="N17" s="105">
        <v>2</v>
      </c>
      <c r="O17" s="105">
        <v>2</v>
      </c>
      <c r="P17" s="105">
        <v>2</v>
      </c>
      <c r="Q17" s="105">
        <v>2</v>
      </c>
      <c r="R17" s="105">
        <v>3</v>
      </c>
      <c r="S17" s="105" t="s">
        <v>34</v>
      </c>
      <c r="T17" s="105" t="s">
        <v>34</v>
      </c>
      <c r="U17" s="105" t="s">
        <v>34</v>
      </c>
      <c r="V17" s="105">
        <v>4</v>
      </c>
      <c r="W17" s="105">
        <v>3</v>
      </c>
      <c r="X17" s="105">
        <v>3</v>
      </c>
      <c r="Y17" s="105">
        <v>4</v>
      </c>
      <c r="Z17" s="105">
        <v>4</v>
      </c>
      <c r="AA17" s="105">
        <v>3</v>
      </c>
      <c r="AB17" s="105">
        <v>3</v>
      </c>
      <c r="AC17" s="105">
        <v>3</v>
      </c>
      <c r="AD17" s="105">
        <v>4</v>
      </c>
      <c r="AE17" s="105">
        <v>6</v>
      </c>
      <c r="AF17" s="105">
        <v>5</v>
      </c>
      <c r="AG17" s="105">
        <v>3</v>
      </c>
      <c r="AH17" s="105">
        <v>2</v>
      </c>
      <c r="AI17" s="105">
        <v>2</v>
      </c>
      <c r="AJ17" s="105">
        <v>2</v>
      </c>
      <c r="AK17" s="105">
        <v>3</v>
      </c>
      <c r="AL17" s="105">
        <v>1</v>
      </c>
      <c r="AM17" s="105">
        <v>2</v>
      </c>
      <c r="AN17" s="105">
        <v>3</v>
      </c>
      <c r="AO17" s="105">
        <v>3</v>
      </c>
      <c r="AP17" s="105">
        <v>5</v>
      </c>
      <c r="AQ17" s="105">
        <v>5</v>
      </c>
      <c r="AR17" s="324">
        <v>0.02</v>
      </c>
      <c r="AS17" s="324">
        <v>0.78</v>
      </c>
      <c r="AT17" s="324">
        <v>0.31</v>
      </c>
      <c r="AU17" s="324">
        <v>-0.75</v>
      </c>
      <c r="AV17" s="324">
        <v>1.38</v>
      </c>
      <c r="AW17" s="324">
        <v>0.2</v>
      </c>
      <c r="AX17" s="324">
        <v>-0.1</v>
      </c>
      <c r="AY17" s="324">
        <v>0.27</v>
      </c>
      <c r="AZ17" s="324">
        <v>-0.05</v>
      </c>
      <c r="BA17" s="324">
        <v>-0.88</v>
      </c>
      <c r="BB17" s="324">
        <v>-2.4</v>
      </c>
      <c r="BC17" s="324">
        <v>-2.84</v>
      </c>
      <c r="BD17" s="324">
        <v>-1.5</v>
      </c>
      <c r="BE17" s="324">
        <v>-0.58</v>
      </c>
      <c r="BF17" s="324" t="s">
        <v>34</v>
      </c>
      <c r="BG17" s="324" t="s">
        <v>34</v>
      </c>
      <c r="BH17" s="324">
        <v>1.22</v>
      </c>
      <c r="BI17" s="324">
        <v>0.08</v>
      </c>
      <c r="BJ17" s="324">
        <v>-1.09</v>
      </c>
      <c r="BK17" s="324">
        <v>0.55</v>
      </c>
      <c r="BL17" s="324">
        <v>1.09</v>
      </c>
      <c r="BM17" s="324">
        <v>0.29</v>
      </c>
      <c r="BN17" s="324">
        <v>-0.07</v>
      </c>
      <c r="BO17" s="324">
        <v>-0.01</v>
      </c>
      <c r="BP17" s="324">
        <v>0.38</v>
      </c>
      <c r="BQ17" s="324">
        <v>1.07</v>
      </c>
      <c r="BR17" s="324">
        <v>2.01</v>
      </c>
      <c r="BS17" s="324">
        <v>0.71</v>
      </c>
      <c r="BT17" s="324">
        <v>-0.83</v>
      </c>
      <c r="BU17" s="324">
        <v>-1.54</v>
      </c>
      <c r="BV17" s="324">
        <v>-0.86</v>
      </c>
      <c r="BW17" s="324">
        <v>0.37</v>
      </c>
      <c r="BX17" s="324">
        <v>-2.44</v>
      </c>
      <c r="BY17" s="324">
        <v>-1.68</v>
      </c>
      <c r="BZ17" s="324" t="s">
        <v>34</v>
      </c>
      <c r="CA17" s="324">
        <v>-0.03</v>
      </c>
      <c r="CB17" s="324">
        <v>0.26</v>
      </c>
      <c r="CC17" s="324">
        <v>1.55</v>
      </c>
      <c r="CD17" s="324">
        <v>1.45</v>
      </c>
      <c r="CE17" s="324">
        <v>-0.10166666666666671</v>
      </c>
      <c r="CF17" s="324">
        <v>-0.057264931883680745</v>
      </c>
      <c r="CG17" s="22"/>
    </row>
    <row r="18" spans="1:85" ht="12.75">
      <c r="A18" s="105">
        <f>IF(Demography!A17="","",Demography!A17)</f>
        <v>1308</v>
      </c>
      <c r="B18" s="105">
        <v>2</v>
      </c>
      <c r="C18" s="105">
        <v>3</v>
      </c>
      <c r="D18" s="105">
        <v>3</v>
      </c>
      <c r="E18" s="105">
        <v>2</v>
      </c>
      <c r="F18" s="105">
        <v>1</v>
      </c>
      <c r="G18" s="105">
        <v>1</v>
      </c>
      <c r="H18" s="105">
        <v>1</v>
      </c>
      <c r="I18" s="105">
        <v>2</v>
      </c>
      <c r="J18" s="105">
        <v>3</v>
      </c>
      <c r="K18" s="105">
        <v>2</v>
      </c>
      <c r="L18" s="105">
        <v>1</v>
      </c>
      <c r="M18" s="105">
        <v>1</v>
      </c>
      <c r="N18" s="105">
        <v>1</v>
      </c>
      <c r="O18" s="105">
        <v>1</v>
      </c>
      <c r="P18" s="105">
        <v>2</v>
      </c>
      <c r="Q18" s="105">
        <v>2</v>
      </c>
      <c r="R18" s="105">
        <v>1</v>
      </c>
      <c r="S18" s="105" t="s">
        <v>34</v>
      </c>
      <c r="T18" s="105" t="s">
        <v>34</v>
      </c>
      <c r="U18" s="105" t="s">
        <v>34</v>
      </c>
      <c r="V18" s="105">
        <v>4</v>
      </c>
      <c r="W18" s="105">
        <v>5</v>
      </c>
      <c r="X18" s="105">
        <v>5</v>
      </c>
      <c r="Y18" s="105">
        <v>5</v>
      </c>
      <c r="Z18" s="105">
        <v>4</v>
      </c>
      <c r="AA18" s="105">
        <v>4</v>
      </c>
      <c r="AB18" s="105">
        <v>5</v>
      </c>
      <c r="AC18" s="105">
        <v>4</v>
      </c>
      <c r="AD18" s="105">
        <v>5</v>
      </c>
      <c r="AE18" s="105">
        <v>8</v>
      </c>
      <c r="AF18" s="105">
        <v>7</v>
      </c>
      <c r="AG18" s="105">
        <v>1</v>
      </c>
      <c r="AH18" s="105">
        <v>1</v>
      </c>
      <c r="AI18" s="105">
        <v>1</v>
      </c>
      <c r="AJ18" s="105">
        <v>1</v>
      </c>
      <c r="AK18" s="105">
        <v>2</v>
      </c>
      <c r="AL18" s="105">
        <v>2</v>
      </c>
      <c r="AM18" s="105">
        <v>1</v>
      </c>
      <c r="AN18" s="105">
        <v>3</v>
      </c>
      <c r="AO18" s="105">
        <v>3</v>
      </c>
      <c r="AP18" s="105">
        <v>5</v>
      </c>
      <c r="AQ18" s="105">
        <v>5</v>
      </c>
      <c r="AR18" s="324">
        <v>-0.75</v>
      </c>
      <c r="AS18" s="324">
        <v>0.78</v>
      </c>
      <c r="AT18" s="324">
        <v>0.31</v>
      </c>
      <c r="AU18" s="324">
        <v>-0.75</v>
      </c>
      <c r="AV18" s="324">
        <v>-1.32</v>
      </c>
      <c r="AW18" s="324">
        <v>-1.79</v>
      </c>
      <c r="AX18" s="324">
        <v>-2.09</v>
      </c>
      <c r="AY18" s="324">
        <v>-0.5</v>
      </c>
      <c r="AZ18" s="324">
        <v>-0.05</v>
      </c>
      <c r="BA18" s="324">
        <v>-0.88</v>
      </c>
      <c r="BB18" s="324">
        <v>-2.4</v>
      </c>
      <c r="BC18" s="324">
        <v>-2.84</v>
      </c>
      <c r="BD18" s="324">
        <v>-2.72</v>
      </c>
      <c r="BE18" s="324">
        <v>-1.8</v>
      </c>
      <c r="BF18" s="324" t="s">
        <v>34</v>
      </c>
      <c r="BG18" s="324" t="s">
        <v>34</v>
      </c>
      <c r="BH18" s="324">
        <v>1.22</v>
      </c>
      <c r="BI18" s="324">
        <v>2.09</v>
      </c>
      <c r="BJ18" s="324">
        <v>0.92</v>
      </c>
      <c r="BK18" s="324">
        <v>1.85</v>
      </c>
      <c r="BL18" s="324">
        <v>1.09</v>
      </c>
      <c r="BM18" s="324">
        <v>1</v>
      </c>
      <c r="BN18" s="324">
        <v>1.94</v>
      </c>
      <c r="BO18" s="324">
        <v>0.7</v>
      </c>
      <c r="BP18" s="324">
        <v>1.68</v>
      </c>
      <c r="BQ18" s="324">
        <v>1.07</v>
      </c>
      <c r="BR18" s="324">
        <v>2.01</v>
      </c>
      <c r="BS18" s="324">
        <v>-1.28</v>
      </c>
      <c r="BT18" s="324">
        <v>-2.05</v>
      </c>
      <c r="BU18" s="324">
        <v>-2.76</v>
      </c>
      <c r="BV18" s="324">
        <v>-2.08</v>
      </c>
      <c r="BW18" s="324">
        <v>-0.4</v>
      </c>
      <c r="BX18" s="324">
        <v>-1.22</v>
      </c>
      <c r="BY18" s="324">
        <v>-2.9</v>
      </c>
      <c r="BZ18" s="324" t="s">
        <v>34</v>
      </c>
      <c r="CA18" s="324">
        <v>-0.03</v>
      </c>
      <c r="CB18" s="324">
        <v>0.26</v>
      </c>
      <c r="CC18" s="324">
        <v>1.55</v>
      </c>
      <c r="CD18" s="324">
        <v>1.45</v>
      </c>
      <c r="CE18" s="324">
        <v>-0.29694444444444457</v>
      </c>
      <c r="CF18" s="324">
        <v>-0.14327565227181882</v>
      </c>
      <c r="CG18" s="22"/>
    </row>
    <row r="19" spans="1:85" ht="12.75">
      <c r="A19" s="105">
        <f>IF(Demography!A18="","",Demography!A18)</f>
        <v>1287</v>
      </c>
      <c r="B19" s="105">
        <v>2</v>
      </c>
      <c r="C19" s="105">
        <v>3</v>
      </c>
      <c r="D19" s="105">
        <v>3</v>
      </c>
      <c r="E19" s="105">
        <v>1</v>
      </c>
      <c r="F19" s="105">
        <v>1</v>
      </c>
      <c r="G19" s="105">
        <v>2</v>
      </c>
      <c r="H19" s="105">
        <v>3</v>
      </c>
      <c r="I19" s="105">
        <v>2</v>
      </c>
      <c r="J19" s="105">
        <v>3</v>
      </c>
      <c r="K19" s="105">
        <v>3</v>
      </c>
      <c r="L19" s="105">
        <v>1</v>
      </c>
      <c r="M19" s="105">
        <v>1</v>
      </c>
      <c r="N19" s="105">
        <v>2</v>
      </c>
      <c r="O19" s="105">
        <v>1</v>
      </c>
      <c r="P19" s="105">
        <v>1</v>
      </c>
      <c r="Q19" s="105" t="s">
        <v>34</v>
      </c>
      <c r="R19" s="105" t="s">
        <v>34</v>
      </c>
      <c r="S19" s="105">
        <v>1</v>
      </c>
      <c r="T19" s="105">
        <v>5</v>
      </c>
      <c r="U19" s="105">
        <v>5</v>
      </c>
      <c r="V19" s="105">
        <v>3</v>
      </c>
      <c r="W19" s="105">
        <v>5</v>
      </c>
      <c r="X19" s="105">
        <v>5</v>
      </c>
      <c r="Y19" s="105">
        <v>4</v>
      </c>
      <c r="Z19" s="105">
        <v>3</v>
      </c>
      <c r="AA19" s="105">
        <v>3</v>
      </c>
      <c r="AB19" s="105">
        <v>4</v>
      </c>
      <c r="AC19" s="105">
        <v>4</v>
      </c>
      <c r="AD19" s="105">
        <v>5</v>
      </c>
      <c r="AE19" s="105">
        <v>8</v>
      </c>
      <c r="AF19" s="105">
        <v>7</v>
      </c>
      <c r="AG19" s="105">
        <v>1</v>
      </c>
      <c r="AH19" s="105">
        <v>2</v>
      </c>
      <c r="AI19" s="105">
        <v>3</v>
      </c>
      <c r="AJ19" s="105">
        <v>2</v>
      </c>
      <c r="AK19" s="105">
        <v>2</v>
      </c>
      <c r="AL19" s="105">
        <v>1</v>
      </c>
      <c r="AM19" s="105">
        <v>1</v>
      </c>
      <c r="AN19" s="105">
        <v>3</v>
      </c>
      <c r="AO19" s="105">
        <v>3</v>
      </c>
      <c r="AP19" s="105">
        <v>4</v>
      </c>
      <c r="AQ19" s="105">
        <v>5</v>
      </c>
      <c r="AR19" s="324">
        <v>-0.75</v>
      </c>
      <c r="AS19" s="324">
        <v>0.78</v>
      </c>
      <c r="AT19" s="324">
        <v>0.31</v>
      </c>
      <c r="AU19" s="324">
        <v>-1.97</v>
      </c>
      <c r="AV19" s="324">
        <v>-1.32</v>
      </c>
      <c r="AW19" s="324">
        <v>-0.57</v>
      </c>
      <c r="AX19" s="324">
        <v>-0.1</v>
      </c>
      <c r="AY19" s="324">
        <v>-0.5</v>
      </c>
      <c r="AZ19" s="324">
        <v>-0.05</v>
      </c>
      <c r="BA19" s="324">
        <v>-0.11</v>
      </c>
      <c r="BB19" s="324">
        <v>-2.4</v>
      </c>
      <c r="BC19" s="324">
        <v>-2.84</v>
      </c>
      <c r="BD19" s="324">
        <v>-1.5</v>
      </c>
      <c r="BE19" s="324">
        <v>-1.8</v>
      </c>
      <c r="BF19" s="324">
        <v>-1.24</v>
      </c>
      <c r="BG19" s="324">
        <v>3.77</v>
      </c>
      <c r="BH19" s="324">
        <v>0.51</v>
      </c>
      <c r="BI19" s="324">
        <v>2.09</v>
      </c>
      <c r="BJ19" s="324">
        <v>0.92</v>
      </c>
      <c r="BK19" s="324">
        <v>0.55</v>
      </c>
      <c r="BL19" s="324">
        <v>0.38</v>
      </c>
      <c r="BM19" s="324">
        <v>0.29</v>
      </c>
      <c r="BN19" s="324">
        <v>0.64</v>
      </c>
      <c r="BO19" s="324">
        <v>0.7</v>
      </c>
      <c r="BP19" s="324">
        <v>1.68</v>
      </c>
      <c r="BQ19" s="324">
        <v>1.07</v>
      </c>
      <c r="BR19" s="324">
        <v>2.01</v>
      </c>
      <c r="BS19" s="324">
        <v>-1.28</v>
      </c>
      <c r="BT19" s="324">
        <v>-0.83</v>
      </c>
      <c r="BU19" s="324">
        <v>-0.77</v>
      </c>
      <c r="BV19" s="324">
        <v>-0.86</v>
      </c>
      <c r="BW19" s="324">
        <v>-0.4</v>
      </c>
      <c r="BX19" s="324">
        <v>-2.44</v>
      </c>
      <c r="BY19" s="324">
        <v>-2.9</v>
      </c>
      <c r="BZ19" s="324">
        <v>3.41</v>
      </c>
      <c r="CA19" s="324">
        <v>-0.03</v>
      </c>
      <c r="CB19" s="324">
        <v>0.26</v>
      </c>
      <c r="CC19" s="324">
        <v>0.25</v>
      </c>
      <c r="CD19" s="324">
        <v>1.45</v>
      </c>
      <c r="CE19" s="324">
        <v>-0.0920512820512821</v>
      </c>
      <c r="CF19" s="324">
        <v>-0.05307214636403809</v>
      </c>
      <c r="CG19" s="22"/>
    </row>
    <row r="20" spans="1:85" ht="12.75">
      <c r="A20" s="105">
        <f>IF(Demography!A19="","",Demography!A19)</f>
        <v>1467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22"/>
    </row>
    <row r="21" spans="1:85" ht="12.75">
      <c r="A21" s="105">
        <f>IF(Demography!A20="","",Demography!A20)</f>
        <v>1324</v>
      </c>
      <c r="B21" s="105">
        <v>1</v>
      </c>
      <c r="C21" s="105">
        <v>3</v>
      </c>
      <c r="D21" s="105">
        <v>2</v>
      </c>
      <c r="E21" s="105">
        <v>1</v>
      </c>
      <c r="F21" s="105">
        <v>3</v>
      </c>
      <c r="G21" s="105">
        <v>3</v>
      </c>
      <c r="H21" s="105">
        <v>3</v>
      </c>
      <c r="I21" s="105">
        <v>3</v>
      </c>
      <c r="J21" s="105">
        <v>3</v>
      </c>
      <c r="K21" s="105">
        <v>3</v>
      </c>
      <c r="L21" s="105">
        <v>2</v>
      </c>
      <c r="M21" s="105">
        <v>2</v>
      </c>
      <c r="N21" s="105">
        <v>3</v>
      </c>
      <c r="O21" s="105">
        <v>4</v>
      </c>
      <c r="P21" s="105">
        <v>2</v>
      </c>
      <c r="Q21" s="105">
        <v>2</v>
      </c>
      <c r="R21" s="105">
        <v>1</v>
      </c>
      <c r="S21" s="105" t="s">
        <v>34</v>
      </c>
      <c r="T21" s="105" t="s">
        <v>34</v>
      </c>
      <c r="U21" s="105" t="s">
        <v>34</v>
      </c>
      <c r="V21" s="105">
        <v>1</v>
      </c>
      <c r="W21" s="105">
        <v>2</v>
      </c>
      <c r="X21" s="105">
        <v>5</v>
      </c>
      <c r="Y21" s="105">
        <v>4</v>
      </c>
      <c r="Z21" s="105">
        <v>2</v>
      </c>
      <c r="AA21" s="105">
        <v>2</v>
      </c>
      <c r="AB21" s="105">
        <v>2</v>
      </c>
      <c r="AC21" s="105">
        <v>3</v>
      </c>
      <c r="AD21" s="105">
        <v>1</v>
      </c>
      <c r="AE21" s="105">
        <v>8</v>
      </c>
      <c r="AF21" s="105">
        <v>6</v>
      </c>
      <c r="AG21" s="105">
        <v>2</v>
      </c>
      <c r="AH21" s="105">
        <v>2</v>
      </c>
      <c r="AI21" s="105">
        <v>2</v>
      </c>
      <c r="AJ21" s="105">
        <v>1</v>
      </c>
      <c r="AK21" s="105">
        <v>3</v>
      </c>
      <c r="AL21" s="105">
        <v>1</v>
      </c>
      <c r="AM21" s="105">
        <v>2</v>
      </c>
      <c r="AN21" s="105">
        <v>3</v>
      </c>
      <c r="AO21" s="105">
        <v>3</v>
      </c>
      <c r="AP21" s="105">
        <v>3</v>
      </c>
      <c r="AQ21" s="105">
        <v>4</v>
      </c>
      <c r="AR21" s="324">
        <v>-1.97</v>
      </c>
      <c r="AS21" s="324">
        <v>0.78</v>
      </c>
      <c r="AT21" s="324">
        <v>-0.46</v>
      </c>
      <c r="AU21" s="324">
        <v>-1.97</v>
      </c>
      <c r="AV21" s="324">
        <v>0.67</v>
      </c>
      <c r="AW21" s="324">
        <v>0.2</v>
      </c>
      <c r="AX21" s="324">
        <v>-0.1</v>
      </c>
      <c r="AY21" s="324">
        <v>0.27</v>
      </c>
      <c r="AZ21" s="324">
        <v>-0.05</v>
      </c>
      <c r="BA21" s="324">
        <v>-0.11</v>
      </c>
      <c r="BB21" s="324">
        <v>-1.18</v>
      </c>
      <c r="BC21" s="324">
        <v>-1.62</v>
      </c>
      <c r="BD21" s="324">
        <v>-0.73</v>
      </c>
      <c r="BE21" s="324">
        <v>0.9</v>
      </c>
      <c r="BF21" s="324" t="s">
        <v>34</v>
      </c>
      <c r="BG21" s="324" t="s">
        <v>34</v>
      </c>
      <c r="BH21" s="324">
        <v>-1.48</v>
      </c>
      <c r="BI21" s="324">
        <v>-0.69</v>
      </c>
      <c r="BJ21" s="324">
        <v>0.92</v>
      </c>
      <c r="BK21" s="324">
        <v>0.55</v>
      </c>
      <c r="BL21" s="324">
        <v>-0.39</v>
      </c>
      <c r="BM21" s="324">
        <v>-0.48</v>
      </c>
      <c r="BN21" s="324">
        <v>-0.84</v>
      </c>
      <c r="BO21" s="324">
        <v>-0.01</v>
      </c>
      <c r="BP21" s="324">
        <v>-2.32</v>
      </c>
      <c r="BQ21" s="324">
        <v>1.07</v>
      </c>
      <c r="BR21" s="324">
        <v>2.01</v>
      </c>
      <c r="BS21" s="324">
        <v>-0.06000000000000005</v>
      </c>
      <c r="BT21" s="324">
        <v>-0.83</v>
      </c>
      <c r="BU21" s="324">
        <v>-1.54</v>
      </c>
      <c r="BV21" s="324">
        <v>-2.08</v>
      </c>
      <c r="BW21" s="324">
        <v>0.37</v>
      </c>
      <c r="BX21" s="324">
        <v>-2.44</v>
      </c>
      <c r="BY21" s="324">
        <v>-1.68</v>
      </c>
      <c r="BZ21" s="324" t="s">
        <v>34</v>
      </c>
      <c r="CA21" s="324">
        <v>-0.03</v>
      </c>
      <c r="CB21" s="324">
        <v>0.26</v>
      </c>
      <c r="CC21" s="324">
        <v>-0.46</v>
      </c>
      <c r="CD21" s="324">
        <v>0.15</v>
      </c>
      <c r="CE21" s="324">
        <v>-0.4269444444444444</v>
      </c>
      <c r="CF21" s="324">
        <v>-0.2020137739688555</v>
      </c>
      <c r="CG21" s="22"/>
    </row>
    <row r="22" spans="1:85" ht="12.75">
      <c r="A22" s="105">
        <f>IF(Demography!A21="","",Demography!A21)</f>
        <v>1565</v>
      </c>
      <c r="B22" s="105">
        <v>4</v>
      </c>
      <c r="C22" s="105">
        <v>4</v>
      </c>
      <c r="D22" s="105">
        <v>4</v>
      </c>
      <c r="E22" s="105">
        <v>2</v>
      </c>
      <c r="F22" s="105">
        <v>3</v>
      </c>
      <c r="G22" s="105">
        <v>4</v>
      </c>
      <c r="H22" s="105">
        <v>3</v>
      </c>
      <c r="I22" s="105">
        <v>3</v>
      </c>
      <c r="J22" s="105">
        <v>2</v>
      </c>
      <c r="K22" s="105">
        <v>2</v>
      </c>
      <c r="L22" s="105">
        <v>2</v>
      </c>
      <c r="M22" s="105">
        <v>2</v>
      </c>
      <c r="N22" s="105">
        <v>1</v>
      </c>
      <c r="O22" s="105">
        <v>3</v>
      </c>
      <c r="P22" s="105">
        <v>1</v>
      </c>
      <c r="Q22" s="105" t="s">
        <v>34</v>
      </c>
      <c r="R22" s="105" t="s">
        <v>34</v>
      </c>
      <c r="S22" s="105">
        <v>3</v>
      </c>
      <c r="T22" s="105">
        <v>5</v>
      </c>
      <c r="U22" s="105">
        <v>3</v>
      </c>
      <c r="V22" s="105">
        <v>3</v>
      </c>
      <c r="W22" s="105">
        <v>5</v>
      </c>
      <c r="X22" s="105">
        <v>5</v>
      </c>
      <c r="Y22" s="105">
        <v>4</v>
      </c>
      <c r="Z22" s="105">
        <v>2</v>
      </c>
      <c r="AA22" s="105">
        <v>2</v>
      </c>
      <c r="AB22" s="105">
        <v>4</v>
      </c>
      <c r="AC22" s="105">
        <v>4</v>
      </c>
      <c r="AD22" s="105">
        <v>4</v>
      </c>
      <c r="AE22" s="105">
        <v>3</v>
      </c>
      <c r="AF22" s="105">
        <v>5</v>
      </c>
      <c r="AG22" s="105">
        <v>3</v>
      </c>
      <c r="AH22" s="105">
        <v>2</v>
      </c>
      <c r="AI22" s="105">
        <v>2</v>
      </c>
      <c r="AJ22" s="105">
        <v>2</v>
      </c>
      <c r="AK22" s="105">
        <v>2</v>
      </c>
      <c r="AL22" s="105">
        <v>2</v>
      </c>
      <c r="AM22" s="105">
        <v>2</v>
      </c>
      <c r="AN22" s="105">
        <v>4</v>
      </c>
      <c r="AO22" s="105">
        <v>3</v>
      </c>
      <c r="AP22" s="105">
        <v>4</v>
      </c>
      <c r="AQ22" s="105">
        <v>5</v>
      </c>
      <c r="AR22" s="324">
        <v>0.73</v>
      </c>
      <c r="AS22" s="324">
        <v>1.49</v>
      </c>
      <c r="AT22" s="324">
        <v>1.02</v>
      </c>
      <c r="AU22" s="324">
        <v>-0.75</v>
      </c>
      <c r="AV22" s="324">
        <v>0.67</v>
      </c>
      <c r="AW22" s="324">
        <v>0.91</v>
      </c>
      <c r="AX22" s="324">
        <v>-0.1</v>
      </c>
      <c r="AY22" s="324">
        <v>0.27</v>
      </c>
      <c r="AZ22" s="324">
        <v>-0.82</v>
      </c>
      <c r="BA22" s="324">
        <v>-0.88</v>
      </c>
      <c r="BB22" s="324">
        <v>-1.18</v>
      </c>
      <c r="BC22" s="324">
        <v>-1.62</v>
      </c>
      <c r="BD22" s="324">
        <v>-2.72</v>
      </c>
      <c r="BE22" s="324">
        <v>0.19</v>
      </c>
      <c r="BF22" s="324">
        <v>0.75</v>
      </c>
      <c r="BG22" s="324">
        <v>3.77</v>
      </c>
      <c r="BH22" s="324">
        <v>0.51</v>
      </c>
      <c r="BI22" s="324">
        <v>2.09</v>
      </c>
      <c r="BJ22" s="324">
        <v>0.92</v>
      </c>
      <c r="BK22" s="324">
        <v>0.55</v>
      </c>
      <c r="BL22" s="324">
        <v>-0.39</v>
      </c>
      <c r="BM22" s="324">
        <v>-0.48</v>
      </c>
      <c r="BN22" s="324">
        <v>0.64</v>
      </c>
      <c r="BO22" s="324">
        <v>0.7</v>
      </c>
      <c r="BP22" s="324">
        <v>0.38</v>
      </c>
      <c r="BQ22" s="324">
        <v>-0.94</v>
      </c>
      <c r="BR22" s="324">
        <v>2.01</v>
      </c>
      <c r="BS22" s="324">
        <v>0.71</v>
      </c>
      <c r="BT22" s="324">
        <v>-0.83</v>
      </c>
      <c r="BU22" s="324">
        <v>-1.54</v>
      </c>
      <c r="BV22" s="324">
        <v>-0.86</v>
      </c>
      <c r="BW22" s="324">
        <v>-0.4</v>
      </c>
      <c r="BX22" s="324">
        <v>-1.22</v>
      </c>
      <c r="BY22" s="324">
        <v>-1.68</v>
      </c>
      <c r="BZ22" s="324">
        <v>1.4</v>
      </c>
      <c r="CA22" s="324">
        <v>0.68</v>
      </c>
      <c r="CB22" s="324">
        <v>0.26</v>
      </c>
      <c r="CC22" s="324">
        <v>0.25</v>
      </c>
      <c r="CD22" s="324">
        <v>1.45</v>
      </c>
      <c r="CE22" s="324">
        <v>0.15230769230769226</v>
      </c>
      <c r="CF22" s="324">
        <v>0.05318392106199688</v>
      </c>
      <c r="CG22" s="22"/>
    </row>
    <row r="23" spans="1:85" ht="12.75">
      <c r="A23" s="105">
        <f>IF(Demography!A22="","",Demography!A22)</f>
        <v>1579</v>
      </c>
      <c r="B23" s="105">
        <v>1</v>
      </c>
      <c r="C23" s="105">
        <v>3</v>
      </c>
      <c r="D23" s="105">
        <v>2</v>
      </c>
      <c r="E23" s="105">
        <v>1</v>
      </c>
      <c r="F23" s="105">
        <v>2</v>
      </c>
      <c r="G23" s="105">
        <v>2</v>
      </c>
      <c r="H23" s="105">
        <v>3</v>
      </c>
      <c r="I23" s="105">
        <v>4</v>
      </c>
      <c r="J23" s="105">
        <v>1</v>
      </c>
      <c r="K23" s="105">
        <v>2</v>
      </c>
      <c r="L23" s="105">
        <v>1</v>
      </c>
      <c r="M23" s="105">
        <v>2</v>
      </c>
      <c r="N23" s="105">
        <v>2</v>
      </c>
      <c r="O23" s="105">
        <v>1</v>
      </c>
      <c r="P23" s="105">
        <v>2</v>
      </c>
      <c r="Q23" s="105">
        <v>2</v>
      </c>
      <c r="R23" s="105">
        <v>1</v>
      </c>
      <c r="S23" s="105">
        <v>2</v>
      </c>
      <c r="T23" s="105">
        <v>2</v>
      </c>
      <c r="U23" s="105">
        <v>3</v>
      </c>
      <c r="V23" s="105">
        <v>4</v>
      </c>
      <c r="W23" s="105">
        <v>3</v>
      </c>
      <c r="X23" s="105">
        <v>5</v>
      </c>
      <c r="Y23" s="105">
        <v>5</v>
      </c>
      <c r="Z23" s="105">
        <v>4</v>
      </c>
      <c r="AA23" s="105">
        <v>4</v>
      </c>
      <c r="AB23" s="105">
        <v>5</v>
      </c>
      <c r="AC23" s="105">
        <v>5</v>
      </c>
      <c r="AD23" s="105">
        <v>5</v>
      </c>
      <c r="AE23" s="105">
        <v>10</v>
      </c>
      <c r="AF23" s="105">
        <v>4</v>
      </c>
      <c r="AG23" s="105">
        <v>3</v>
      </c>
      <c r="AH23" s="105">
        <v>1</v>
      </c>
      <c r="AI23" s="105">
        <v>1</v>
      </c>
      <c r="AJ23" s="105">
        <v>1</v>
      </c>
      <c r="AK23" s="105">
        <v>1</v>
      </c>
      <c r="AL23" s="105">
        <v>1</v>
      </c>
      <c r="AM23" s="105">
        <v>1</v>
      </c>
      <c r="AN23" s="105">
        <v>5</v>
      </c>
      <c r="AO23" s="105">
        <v>5</v>
      </c>
      <c r="AP23" s="105">
        <v>5</v>
      </c>
      <c r="AQ23" s="105">
        <v>5</v>
      </c>
      <c r="AR23" s="324">
        <v>-1.97</v>
      </c>
      <c r="AS23" s="324">
        <v>0.78</v>
      </c>
      <c r="AT23" s="324">
        <v>-0.46</v>
      </c>
      <c r="AU23" s="324">
        <v>-1.97</v>
      </c>
      <c r="AV23" s="324">
        <v>-0.1</v>
      </c>
      <c r="AW23" s="324">
        <v>-0.57</v>
      </c>
      <c r="AX23" s="324">
        <v>-0.1</v>
      </c>
      <c r="AY23" s="324">
        <v>0.98</v>
      </c>
      <c r="AZ23" s="324">
        <v>-2.04</v>
      </c>
      <c r="BA23" s="324">
        <v>-0.88</v>
      </c>
      <c r="BB23" s="324">
        <v>-2.4</v>
      </c>
      <c r="BC23" s="324">
        <v>-1.62</v>
      </c>
      <c r="BD23" s="324">
        <v>-1.5</v>
      </c>
      <c r="BE23" s="324">
        <v>-1.8</v>
      </c>
      <c r="BF23" s="324">
        <v>-0.02</v>
      </c>
      <c r="BG23" s="324">
        <v>0.99</v>
      </c>
      <c r="BH23" s="324">
        <v>1.22</v>
      </c>
      <c r="BI23" s="324">
        <v>0.08</v>
      </c>
      <c r="BJ23" s="324">
        <v>0.92</v>
      </c>
      <c r="BK23" s="324">
        <v>1.85</v>
      </c>
      <c r="BL23" s="324">
        <v>1.09</v>
      </c>
      <c r="BM23" s="324">
        <v>1</v>
      </c>
      <c r="BN23" s="324">
        <v>1.94</v>
      </c>
      <c r="BO23" s="324">
        <v>2</v>
      </c>
      <c r="BP23" s="324">
        <v>1.68</v>
      </c>
      <c r="BQ23" s="324">
        <v>1.07</v>
      </c>
      <c r="BR23" s="324">
        <v>0.71</v>
      </c>
      <c r="BS23" s="324">
        <v>0.71</v>
      </c>
      <c r="BT23" s="324">
        <v>-2.05</v>
      </c>
      <c r="BU23" s="324">
        <v>-2.76</v>
      </c>
      <c r="BV23" s="324">
        <v>-2.08</v>
      </c>
      <c r="BW23" s="324">
        <v>-1.62</v>
      </c>
      <c r="BX23" s="324">
        <v>-2.44</v>
      </c>
      <c r="BY23" s="324">
        <v>-2.9</v>
      </c>
      <c r="BZ23" s="324">
        <v>1.4</v>
      </c>
      <c r="CA23" s="324">
        <v>1.98</v>
      </c>
      <c r="CB23" s="324">
        <v>2.27</v>
      </c>
      <c r="CC23" s="324">
        <v>1.55</v>
      </c>
      <c r="CD23" s="324">
        <v>1.45</v>
      </c>
      <c r="CE23" s="324">
        <v>-0.09256410256410257</v>
      </c>
      <c r="CF23" s="324">
        <v>-0.05329569751922884</v>
      </c>
      <c r="CG23" s="22"/>
    </row>
    <row r="24" spans="1:85" ht="12.75">
      <c r="A24" s="105">
        <f>IF(Demography!A23="","",Demography!A23)</f>
        <v>1580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4"/>
      <c r="CF24" s="324"/>
      <c r="CG24" s="22"/>
    </row>
    <row r="25" spans="1:85" ht="12.75">
      <c r="A25" s="316">
        <f>IF(Demography!A24="","",Demography!A24)</f>
        <v>1595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22"/>
    </row>
    <row r="26" spans="1:84" ht="12.75">
      <c r="A26" s="105">
        <f>IF(Demography!A25="","",Demography!A25)</f>
        <v>1598</v>
      </c>
      <c r="B26" s="108">
        <v>3</v>
      </c>
      <c r="C26" s="108">
        <v>3</v>
      </c>
      <c r="D26" s="108">
        <v>3</v>
      </c>
      <c r="E26" s="108">
        <v>1</v>
      </c>
      <c r="F26" s="108">
        <v>3</v>
      </c>
      <c r="G26" s="108">
        <v>2</v>
      </c>
      <c r="H26" s="108">
        <v>2</v>
      </c>
      <c r="I26" s="108">
        <v>2</v>
      </c>
      <c r="J26" s="108">
        <v>1</v>
      </c>
      <c r="K26" s="108">
        <v>3</v>
      </c>
      <c r="L26" s="108">
        <v>1</v>
      </c>
      <c r="M26" s="108">
        <v>1</v>
      </c>
      <c r="N26" s="108">
        <v>2</v>
      </c>
      <c r="O26" s="108">
        <v>2</v>
      </c>
      <c r="P26" s="108">
        <v>1</v>
      </c>
      <c r="Q26" s="108" t="s">
        <v>34</v>
      </c>
      <c r="R26" s="108" t="s">
        <v>34</v>
      </c>
      <c r="S26" s="108">
        <v>3</v>
      </c>
      <c r="T26" s="108">
        <v>3</v>
      </c>
      <c r="U26" s="108">
        <v>4</v>
      </c>
      <c r="V26" s="108">
        <v>3</v>
      </c>
      <c r="W26" s="108">
        <v>3</v>
      </c>
      <c r="X26" s="108">
        <v>5</v>
      </c>
      <c r="Y26" s="108">
        <v>4</v>
      </c>
      <c r="Z26" s="108">
        <v>2</v>
      </c>
      <c r="AA26" s="108">
        <v>1</v>
      </c>
      <c r="AB26" s="108">
        <v>3</v>
      </c>
      <c r="AC26" s="108">
        <v>4</v>
      </c>
      <c r="AD26" s="108">
        <v>4</v>
      </c>
      <c r="AE26" s="108">
        <v>5</v>
      </c>
      <c r="AF26" s="108">
        <v>4</v>
      </c>
      <c r="AG26" s="108">
        <v>3</v>
      </c>
      <c r="AH26" s="108">
        <v>2</v>
      </c>
      <c r="AI26" s="108">
        <v>1</v>
      </c>
      <c r="AJ26" s="108">
        <v>1</v>
      </c>
      <c r="AK26" s="108">
        <v>3</v>
      </c>
      <c r="AL26" s="108">
        <v>2</v>
      </c>
      <c r="AM26" s="108">
        <v>1</v>
      </c>
      <c r="AN26" s="108">
        <v>3</v>
      </c>
      <c r="AO26" s="108">
        <v>3</v>
      </c>
      <c r="AP26" s="108">
        <v>3</v>
      </c>
      <c r="AQ26" s="108">
        <v>5</v>
      </c>
      <c r="AR26" s="133">
        <v>0.02</v>
      </c>
      <c r="AS26" s="133">
        <v>0.78</v>
      </c>
      <c r="AT26" s="133">
        <v>0.31</v>
      </c>
      <c r="AU26" s="133">
        <v>-1.97</v>
      </c>
      <c r="AV26" s="133">
        <v>0.67</v>
      </c>
      <c r="AW26" s="133">
        <v>-0.57</v>
      </c>
      <c r="AX26" s="133">
        <v>-0.87</v>
      </c>
      <c r="AY26" s="133">
        <v>-0.5</v>
      </c>
      <c r="AZ26" s="133">
        <v>-2.04</v>
      </c>
      <c r="BA26" s="133">
        <v>-0.11</v>
      </c>
      <c r="BB26" s="133">
        <v>-2.4</v>
      </c>
      <c r="BC26" s="133">
        <v>-2.84</v>
      </c>
      <c r="BD26" s="133">
        <v>-1.5</v>
      </c>
      <c r="BE26" s="133">
        <v>-0.58</v>
      </c>
      <c r="BF26" s="133">
        <v>0.75</v>
      </c>
      <c r="BG26" s="133">
        <v>1.76</v>
      </c>
      <c r="BH26" s="133">
        <v>0.51</v>
      </c>
      <c r="BI26" s="133">
        <v>0.08</v>
      </c>
      <c r="BJ26" s="133">
        <v>0.92</v>
      </c>
      <c r="BK26" s="133">
        <v>0.55</v>
      </c>
      <c r="BL26" s="133">
        <v>-0.39</v>
      </c>
      <c r="BM26" s="133">
        <v>-1.7</v>
      </c>
      <c r="BN26" s="133">
        <v>-0.07</v>
      </c>
      <c r="BO26" s="133">
        <v>0.7</v>
      </c>
      <c r="BP26" s="133">
        <v>0.38</v>
      </c>
      <c r="BQ26" s="133">
        <v>1.07</v>
      </c>
      <c r="BR26" s="133">
        <v>0.71</v>
      </c>
      <c r="BS26" s="133">
        <v>0.71</v>
      </c>
      <c r="BT26" s="133">
        <v>-0.83</v>
      </c>
      <c r="BU26" s="133">
        <v>-2.76</v>
      </c>
      <c r="BV26" s="133">
        <v>-2.08</v>
      </c>
      <c r="BW26" s="133">
        <v>0.37</v>
      </c>
      <c r="BX26" s="133">
        <v>-1.22</v>
      </c>
      <c r="BY26" s="133">
        <v>-2.9</v>
      </c>
      <c r="BZ26" s="133">
        <v>2.11</v>
      </c>
      <c r="CA26" s="133">
        <v>-0.03</v>
      </c>
      <c r="CB26" s="133">
        <v>0.26</v>
      </c>
      <c r="CC26" s="133">
        <v>-0.46</v>
      </c>
      <c r="CD26" s="133">
        <v>1.45</v>
      </c>
      <c r="CE26" s="133">
        <v>-0.30025641025641026</v>
      </c>
      <c r="CF26" s="133">
        <v>-0.14475392648579877</v>
      </c>
    </row>
    <row r="27" ht="12.75">
      <c r="A27" s="105">
        <f>IF(Demography!A26="","",Demography!A26)</f>
      </c>
    </row>
    <row r="28" spans="1:31" ht="12.75">
      <c r="A28" s="370" t="s">
        <v>329</v>
      </c>
      <c r="B28" s="82" t="s">
        <v>320</v>
      </c>
      <c r="AE28" s="82" t="s">
        <v>320</v>
      </c>
    </row>
    <row r="29" spans="1:43" ht="12.75">
      <c r="A29" s="370"/>
      <c r="B29" s="94" t="s">
        <v>206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AE29" s="88" t="s">
        <v>189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</row>
    <row r="30" spans="1:43" ht="12.75">
      <c r="A30" s="370"/>
      <c r="B30" s="77" t="s">
        <v>153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AE30" s="389" t="s">
        <v>277</v>
      </c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</row>
    <row r="31" spans="1:43" ht="12.75">
      <c r="A31" s="370"/>
      <c r="B31" s="81" t="s">
        <v>159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AE31" s="389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</row>
    <row r="32" spans="1:43" ht="12.75">
      <c r="A32" s="105"/>
      <c r="B32" s="81" t="s">
        <v>157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AE32" s="389"/>
      <c r="AF32" s="389"/>
      <c r="AG32" s="389"/>
      <c r="AH32" s="389"/>
      <c r="AI32" s="389"/>
      <c r="AJ32" s="389"/>
      <c r="AK32" s="389"/>
      <c r="AL32" s="389"/>
      <c r="AM32" s="389"/>
      <c r="AN32" s="389"/>
      <c r="AO32" s="389"/>
      <c r="AP32" s="389"/>
      <c r="AQ32" s="389"/>
    </row>
    <row r="33" spans="1:43" ht="12.75">
      <c r="A33" s="108"/>
      <c r="B33" s="81" t="s">
        <v>158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AE33" s="88" t="s">
        <v>190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</row>
    <row r="34" spans="1:43" ht="12.75">
      <c r="A34" s="108"/>
      <c r="B34" s="388" t="s">
        <v>278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AE34" s="389" t="s">
        <v>191</v>
      </c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</row>
    <row r="35" spans="2:43" ht="12.75"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</row>
    <row r="36" spans="2:43" ht="12.75">
      <c r="B36" s="81" t="s">
        <v>169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AE36" s="389" t="s">
        <v>279</v>
      </c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</row>
    <row r="37" spans="2:43" ht="12.75">
      <c r="B37" s="81" t="s">
        <v>170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</row>
    <row r="38" spans="2:13" ht="12.75">
      <c r="B38" s="81" t="s">
        <v>171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2:13" ht="12.75">
      <c r="B39" s="81" t="s">
        <v>280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 ht="12.75">
      <c r="B40" s="388" t="s">
        <v>281</v>
      </c>
      <c r="C40" s="388"/>
      <c r="D40" s="388"/>
      <c r="E40" s="388"/>
      <c r="F40" s="388"/>
      <c r="G40" s="388"/>
      <c r="H40" s="388"/>
      <c r="I40" s="81"/>
      <c r="J40" s="81"/>
      <c r="K40" s="81"/>
      <c r="L40" s="81"/>
      <c r="M40" s="81"/>
    </row>
    <row r="41" spans="2:13" ht="12.75">
      <c r="B41" s="388"/>
      <c r="C41" s="388"/>
      <c r="D41" s="388"/>
      <c r="E41" s="388"/>
      <c r="F41" s="388"/>
      <c r="G41" s="388"/>
      <c r="H41" s="388"/>
      <c r="I41" s="75"/>
      <c r="J41" s="75"/>
      <c r="K41" s="75"/>
      <c r="L41" s="75"/>
      <c r="M41" s="75"/>
    </row>
    <row r="42" spans="2:13" ht="12.75">
      <c r="B42" s="81" t="s">
        <v>178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2:13" ht="12.75">
      <c r="B43" s="81" t="s">
        <v>282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2:13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</sheetData>
  <mergeCells count="17">
    <mergeCell ref="BH2:BP2"/>
    <mergeCell ref="AR2:AU2"/>
    <mergeCell ref="B40:H41"/>
    <mergeCell ref="AE30:AQ32"/>
    <mergeCell ref="AE34:AQ35"/>
    <mergeCell ref="AE36:AQ37"/>
    <mergeCell ref="B34:M35"/>
    <mergeCell ref="CE1:CF2"/>
    <mergeCell ref="BQ2:CD2"/>
    <mergeCell ref="A28:A31"/>
    <mergeCell ref="A1:A2"/>
    <mergeCell ref="B1:AQ1"/>
    <mergeCell ref="B2:E2"/>
    <mergeCell ref="AE2:AQ2"/>
    <mergeCell ref="V2:AD2"/>
    <mergeCell ref="F2:U2"/>
    <mergeCell ref="AV2:BG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Z31"/>
  <sheetViews>
    <sheetView zoomScale="75" zoomScaleNormal="75" workbookViewId="0" topLeftCell="A4">
      <pane xSplit="1" topLeftCell="B1" activePane="topRight" state="frozen"/>
      <selection pane="topLeft" activeCell="A1" sqref="A1"/>
      <selection pane="topRight" activeCell="C22" sqref="C22"/>
    </sheetView>
  </sheetViews>
  <sheetFormatPr defaultColWidth="9.140625" defaultRowHeight="12"/>
  <cols>
    <col min="1" max="1" width="21.28125" style="2" customWidth="1"/>
    <col min="2" max="2" width="17.00390625" style="2" customWidth="1"/>
    <col min="3" max="3" width="16.00390625" style="2" customWidth="1"/>
    <col min="4" max="4" width="12.140625" style="2" customWidth="1"/>
    <col min="5" max="5" width="11.28125" style="2" customWidth="1"/>
    <col min="6" max="6" width="15.7109375" style="2" customWidth="1"/>
    <col min="7" max="7" width="11.28125" style="2" customWidth="1"/>
    <col min="8" max="8" width="12.8515625" style="2" customWidth="1"/>
    <col min="9" max="9" width="19.7109375" style="2" customWidth="1"/>
    <col min="10" max="10" width="12.00390625" style="2" customWidth="1"/>
    <col min="11" max="11" width="19.28125" style="2" customWidth="1"/>
    <col min="12" max="12" width="16.8515625" style="2" customWidth="1"/>
    <col min="13" max="13" width="17.421875" style="2" customWidth="1"/>
    <col min="14" max="14" width="13.7109375" style="2" customWidth="1"/>
    <col min="15" max="15" width="12.7109375" style="2" customWidth="1"/>
    <col min="16" max="16" width="13.421875" style="2" customWidth="1"/>
    <col min="17" max="17" width="13.00390625" style="2" customWidth="1"/>
    <col min="18" max="18" width="15.28125" style="2" customWidth="1"/>
    <col min="19" max="19" width="16.7109375" style="2" customWidth="1"/>
    <col min="20" max="20" width="31.140625" style="2" customWidth="1"/>
    <col min="21" max="21" width="30.00390625" style="2" customWidth="1"/>
    <col min="22" max="22" width="28.421875" style="2" customWidth="1"/>
    <col min="23" max="23" width="24.28125" style="2" customWidth="1"/>
    <col min="24" max="24" width="16.140625" style="2" customWidth="1"/>
    <col min="25" max="25" width="16.421875" style="2" customWidth="1"/>
    <col min="26" max="26" width="15.421875" style="2" customWidth="1"/>
    <col min="27" max="27" width="12.140625" style="2" customWidth="1"/>
    <col min="28" max="28" width="19.00390625" style="2" customWidth="1"/>
    <col min="29" max="29" width="20.00390625" style="2" customWidth="1"/>
    <col min="30" max="30" width="17.421875" style="2" customWidth="1"/>
    <col min="31" max="31" width="16.421875" style="2" customWidth="1"/>
    <col min="32" max="32" width="19.421875" style="2" customWidth="1"/>
    <col min="33" max="33" width="19.140625" style="2" customWidth="1"/>
    <col min="34" max="34" width="18.140625" style="2" customWidth="1"/>
    <col min="35" max="35" width="15.00390625" style="2" customWidth="1"/>
    <col min="36" max="36" width="19.28125" style="2" customWidth="1"/>
    <col min="37" max="37" width="12.00390625" style="2" customWidth="1"/>
    <col min="38" max="38" width="14.00390625" style="2" customWidth="1"/>
    <col min="39" max="39" width="12.00390625" style="2" customWidth="1"/>
    <col min="40" max="40" width="14.421875" style="2" customWidth="1"/>
    <col min="41" max="41" width="14.28125" style="2" customWidth="1"/>
    <col min="42" max="42" width="12.00390625" style="2" customWidth="1"/>
    <col min="43" max="43" width="12.8515625" style="2" customWidth="1"/>
    <col min="44" max="44" width="13.8515625" style="2" customWidth="1"/>
    <col min="45" max="45" width="12.00390625" style="2" customWidth="1"/>
    <col min="46" max="46" width="18.8515625" style="2" customWidth="1"/>
    <col min="47" max="47" width="17.8515625" style="2" customWidth="1"/>
    <col min="48" max="48" width="15.421875" style="2" customWidth="1"/>
    <col min="49" max="52" width="12.00390625" style="2" customWidth="1"/>
    <col min="53" max="53" width="15.140625" style="2" customWidth="1"/>
    <col min="54" max="54" width="12.00390625" style="2" customWidth="1"/>
    <col min="55" max="55" width="22.00390625" style="2" customWidth="1"/>
    <col min="56" max="56" width="23.7109375" style="2" customWidth="1"/>
    <col min="57" max="57" width="21.8515625" style="2" customWidth="1"/>
    <col min="58" max="58" width="23.28125" style="2" customWidth="1"/>
    <col min="59" max="59" width="18.8515625" style="2" customWidth="1"/>
    <col min="60" max="60" width="22.28125" style="2" customWidth="1"/>
    <col min="61" max="61" width="17.28125" style="2" customWidth="1"/>
    <col min="62" max="62" width="16.140625" style="2" customWidth="1"/>
    <col min="63" max="63" width="19.140625" style="2" customWidth="1"/>
    <col min="64" max="64" width="20.28125" style="2" customWidth="1"/>
    <col min="65" max="65" width="19.28125" style="2" customWidth="1"/>
    <col min="66" max="66" width="16.28125" style="2" customWidth="1"/>
    <col min="67" max="67" width="17.140625" style="2" customWidth="1"/>
    <col min="68" max="68" width="18.28125" style="2" customWidth="1"/>
    <col min="69" max="69" width="17.28125" style="2" customWidth="1"/>
    <col min="70" max="70" width="14.8515625" style="2" customWidth="1"/>
    <col min="71" max="71" width="19.28125" style="2" customWidth="1"/>
    <col min="72" max="72" width="12.00390625" style="2" customWidth="1"/>
    <col min="73" max="73" width="14.00390625" style="2" customWidth="1"/>
    <col min="74" max="16384" width="12.00390625" style="2" customWidth="1"/>
  </cols>
  <sheetData>
    <row r="1" spans="1:73" ht="91.5" customHeight="1">
      <c r="A1" s="492" t="s">
        <v>118</v>
      </c>
      <c r="B1" s="405" t="s">
        <v>318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93"/>
      <c r="AK1" s="262" t="s">
        <v>205</v>
      </c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362" t="s">
        <v>205</v>
      </c>
      <c r="BU1" s="362"/>
    </row>
    <row r="2" spans="1:73" ht="62.25" customHeight="1">
      <c r="A2" s="492"/>
      <c r="B2" s="488" t="s">
        <v>6</v>
      </c>
      <c r="C2" s="489"/>
      <c r="D2" s="490" t="s">
        <v>7</v>
      </c>
      <c r="E2" s="491"/>
      <c r="F2" s="491"/>
      <c r="G2" s="491"/>
      <c r="H2" s="491"/>
      <c r="I2" s="408" t="s">
        <v>13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12" t="s">
        <v>43</v>
      </c>
      <c r="U2" s="412"/>
      <c r="V2" s="412" t="s">
        <v>44</v>
      </c>
      <c r="W2" s="412"/>
      <c r="X2" s="403" t="s">
        <v>3</v>
      </c>
      <c r="Y2" s="403"/>
      <c r="Z2" s="409" t="s">
        <v>22</v>
      </c>
      <c r="AA2" s="409"/>
      <c r="AB2" s="409"/>
      <c r="AC2" s="409"/>
      <c r="AD2" s="409"/>
      <c r="AE2" s="409"/>
      <c r="AF2" s="409"/>
      <c r="AG2" s="410" t="s">
        <v>23</v>
      </c>
      <c r="AH2" s="410"/>
      <c r="AI2" s="410"/>
      <c r="AJ2" s="410"/>
      <c r="AK2" s="488" t="s">
        <v>6</v>
      </c>
      <c r="AL2" s="489"/>
      <c r="AM2" s="490" t="s">
        <v>7</v>
      </c>
      <c r="AN2" s="491"/>
      <c r="AO2" s="491"/>
      <c r="AP2" s="491"/>
      <c r="AQ2" s="491"/>
      <c r="AR2" s="408" t="s">
        <v>13</v>
      </c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12" t="s">
        <v>43</v>
      </c>
      <c r="BD2" s="412"/>
      <c r="BE2" s="412" t="s">
        <v>44</v>
      </c>
      <c r="BF2" s="412"/>
      <c r="BG2" s="403" t="s">
        <v>3</v>
      </c>
      <c r="BH2" s="403"/>
      <c r="BI2" s="409" t="s">
        <v>22</v>
      </c>
      <c r="BJ2" s="409"/>
      <c r="BK2" s="409"/>
      <c r="BL2" s="409"/>
      <c r="BM2" s="409"/>
      <c r="BN2" s="409"/>
      <c r="BO2" s="409"/>
      <c r="BP2" s="410" t="s">
        <v>23</v>
      </c>
      <c r="BQ2" s="410"/>
      <c r="BR2" s="410"/>
      <c r="BS2" s="410"/>
      <c r="BT2" s="362"/>
      <c r="BU2" s="362"/>
    </row>
    <row r="3" spans="1:73" ht="79.5" customHeight="1">
      <c r="A3" s="260" t="s">
        <v>55</v>
      </c>
      <c r="B3" s="278" t="s">
        <v>210</v>
      </c>
      <c r="C3" s="278" t="s">
        <v>211</v>
      </c>
      <c r="D3" s="258" t="s">
        <v>212</v>
      </c>
      <c r="E3" s="278" t="s">
        <v>213</v>
      </c>
      <c r="F3" s="258" t="s">
        <v>214</v>
      </c>
      <c r="G3" s="278" t="s">
        <v>215</v>
      </c>
      <c r="H3" s="278" t="s">
        <v>216</v>
      </c>
      <c r="I3" s="278" t="s">
        <v>217</v>
      </c>
      <c r="J3" s="189" t="s">
        <v>218</v>
      </c>
      <c r="K3" s="278" t="s">
        <v>283</v>
      </c>
      <c r="L3" s="189" t="s">
        <v>219</v>
      </c>
      <c r="M3" s="189" t="s">
        <v>220</v>
      </c>
      <c r="N3" s="278" t="s">
        <v>221</v>
      </c>
      <c r="O3" s="278" t="s">
        <v>222</v>
      </c>
      <c r="P3" s="278" t="s">
        <v>223</v>
      </c>
      <c r="Q3" s="278" t="s">
        <v>224</v>
      </c>
      <c r="R3" s="278" t="s">
        <v>225</v>
      </c>
      <c r="S3" s="189" t="s">
        <v>226</v>
      </c>
      <c r="T3" s="259" t="s">
        <v>227</v>
      </c>
      <c r="U3" s="259" t="s">
        <v>228</v>
      </c>
      <c r="V3" s="259" t="s">
        <v>229</v>
      </c>
      <c r="W3" s="259" t="s">
        <v>230</v>
      </c>
      <c r="X3" s="258" t="s">
        <v>231</v>
      </c>
      <c r="Y3" s="278" t="s">
        <v>232</v>
      </c>
      <c r="Z3" s="278" t="s">
        <v>233</v>
      </c>
      <c r="AA3" s="278" t="s">
        <v>234</v>
      </c>
      <c r="AB3" s="278" t="s">
        <v>235</v>
      </c>
      <c r="AC3" s="278" t="s">
        <v>236</v>
      </c>
      <c r="AD3" s="278" t="s">
        <v>237</v>
      </c>
      <c r="AE3" s="278" t="s">
        <v>238</v>
      </c>
      <c r="AF3" s="278" t="s">
        <v>239</v>
      </c>
      <c r="AG3" s="278" t="s">
        <v>240</v>
      </c>
      <c r="AH3" s="278" t="s">
        <v>241</v>
      </c>
      <c r="AI3" s="259" t="s">
        <v>242</v>
      </c>
      <c r="AJ3" s="278" t="s">
        <v>243</v>
      </c>
      <c r="AK3" s="279" t="s">
        <v>210</v>
      </c>
      <c r="AL3" s="279" t="s">
        <v>211</v>
      </c>
      <c r="AM3" s="266" t="s">
        <v>212</v>
      </c>
      <c r="AN3" s="279" t="s">
        <v>213</v>
      </c>
      <c r="AO3" s="266" t="s">
        <v>214</v>
      </c>
      <c r="AP3" s="279" t="s">
        <v>215</v>
      </c>
      <c r="AQ3" s="279" t="s">
        <v>216</v>
      </c>
      <c r="AR3" s="279" t="s">
        <v>217</v>
      </c>
      <c r="AS3" s="280" t="s">
        <v>218</v>
      </c>
      <c r="AT3" s="279" t="s">
        <v>283</v>
      </c>
      <c r="AU3" s="280" t="s">
        <v>219</v>
      </c>
      <c r="AV3" s="280" t="s">
        <v>220</v>
      </c>
      <c r="AW3" s="279" t="s">
        <v>221</v>
      </c>
      <c r="AX3" s="279" t="s">
        <v>222</v>
      </c>
      <c r="AY3" s="279" t="s">
        <v>223</v>
      </c>
      <c r="AZ3" s="279" t="s">
        <v>224</v>
      </c>
      <c r="BA3" s="279" t="s">
        <v>225</v>
      </c>
      <c r="BB3" s="280" t="s">
        <v>226</v>
      </c>
      <c r="BC3" s="265" t="s">
        <v>227</v>
      </c>
      <c r="BD3" s="265" t="s">
        <v>228</v>
      </c>
      <c r="BE3" s="265" t="s">
        <v>229</v>
      </c>
      <c r="BF3" s="265" t="s">
        <v>230</v>
      </c>
      <c r="BG3" s="266" t="s">
        <v>231</v>
      </c>
      <c r="BH3" s="279" t="s">
        <v>232</v>
      </c>
      <c r="BI3" s="279" t="s">
        <v>233</v>
      </c>
      <c r="BJ3" s="279" t="s">
        <v>234</v>
      </c>
      <c r="BK3" s="279" t="s">
        <v>235</v>
      </c>
      <c r="BL3" s="279" t="s">
        <v>236</v>
      </c>
      <c r="BM3" s="279" t="s">
        <v>237</v>
      </c>
      <c r="BN3" s="279" t="s">
        <v>238</v>
      </c>
      <c r="BO3" s="279" t="s">
        <v>239</v>
      </c>
      <c r="BP3" s="279" t="s">
        <v>240</v>
      </c>
      <c r="BQ3" s="279" t="s">
        <v>241</v>
      </c>
      <c r="BR3" s="265" t="s">
        <v>242</v>
      </c>
      <c r="BS3" s="279" t="s">
        <v>243</v>
      </c>
      <c r="BT3" s="264" t="s">
        <v>24</v>
      </c>
      <c r="BU3" s="264" t="s">
        <v>289</v>
      </c>
    </row>
    <row r="4" spans="1:73" s="102" customFormat="1" ht="12.75">
      <c r="A4" s="4">
        <f>IF(Demography!A3="","",Demography!A3)</f>
        <v>970</v>
      </c>
      <c r="B4" s="1">
        <v>1</v>
      </c>
      <c r="C4" s="1">
        <v>1</v>
      </c>
      <c r="D4" s="1" t="s">
        <v>34</v>
      </c>
      <c r="E4" s="1">
        <v>2</v>
      </c>
      <c r="F4" s="1" t="s">
        <v>34</v>
      </c>
      <c r="G4" s="1">
        <v>1</v>
      </c>
      <c r="H4" s="1">
        <v>1</v>
      </c>
      <c r="I4" s="1">
        <v>3</v>
      </c>
      <c r="J4" s="1">
        <v>3</v>
      </c>
      <c r="K4" s="1" t="s">
        <v>34</v>
      </c>
      <c r="L4" s="1">
        <v>2</v>
      </c>
      <c r="M4" s="1">
        <v>3</v>
      </c>
      <c r="N4" s="1">
        <v>3</v>
      </c>
      <c r="O4" s="1">
        <v>2</v>
      </c>
      <c r="P4" s="1">
        <v>1</v>
      </c>
      <c r="Q4" s="1">
        <v>2</v>
      </c>
      <c r="R4" s="1">
        <v>3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2</v>
      </c>
      <c r="AB4" s="1">
        <v>2</v>
      </c>
      <c r="AC4" s="1">
        <v>1</v>
      </c>
      <c r="AD4" s="1">
        <v>1</v>
      </c>
      <c r="AE4" s="1">
        <v>1</v>
      </c>
      <c r="AF4" s="1">
        <v>3</v>
      </c>
      <c r="AG4" s="1">
        <v>1</v>
      </c>
      <c r="AH4" s="1">
        <v>2</v>
      </c>
      <c r="AI4" s="1">
        <v>1</v>
      </c>
      <c r="AJ4" s="1">
        <v>2</v>
      </c>
      <c r="AK4" s="16">
        <v>-3.94</v>
      </c>
      <c r="AL4" s="16">
        <v>-1.71</v>
      </c>
      <c r="AM4" s="16" t="s">
        <v>34</v>
      </c>
      <c r="AN4" s="16">
        <v>-1.93</v>
      </c>
      <c r="AO4" s="16" t="s">
        <v>34</v>
      </c>
      <c r="AP4" s="16">
        <v>-2.3</v>
      </c>
      <c r="AQ4" s="16">
        <v>-2.63</v>
      </c>
      <c r="AR4" s="16">
        <v>0.76</v>
      </c>
      <c r="AS4" s="16">
        <v>1.51</v>
      </c>
      <c r="AT4" s="16" t="s">
        <v>34</v>
      </c>
      <c r="AU4" s="16">
        <v>-1.21</v>
      </c>
      <c r="AV4" s="16">
        <v>0.18</v>
      </c>
      <c r="AW4" s="16">
        <v>-0.7</v>
      </c>
      <c r="AX4" s="16">
        <v>-1.04</v>
      </c>
      <c r="AY4" s="16">
        <v>-2.37</v>
      </c>
      <c r="AZ4" s="16">
        <v>-0.81</v>
      </c>
      <c r="BA4" s="16">
        <v>-0.73</v>
      </c>
      <c r="BB4" s="16">
        <v>-1.14</v>
      </c>
      <c r="BC4" s="16">
        <v>-1.92</v>
      </c>
      <c r="BD4" s="16">
        <v>-1.52</v>
      </c>
      <c r="BE4" s="16">
        <v>-1.84</v>
      </c>
      <c r="BF4" s="16">
        <v>-2.28</v>
      </c>
      <c r="BG4" s="16">
        <v>-1.54</v>
      </c>
      <c r="BH4" s="16">
        <v>-2.52</v>
      </c>
      <c r="BI4" s="16">
        <v>-2.38</v>
      </c>
      <c r="BJ4" s="16">
        <v>-1.62</v>
      </c>
      <c r="BK4" s="16">
        <v>-0.94</v>
      </c>
      <c r="BL4" s="16">
        <v>-2.71</v>
      </c>
      <c r="BM4" s="16">
        <v>-2.61</v>
      </c>
      <c r="BN4" s="16">
        <v>-2.1</v>
      </c>
      <c r="BO4" s="16">
        <v>0.72</v>
      </c>
      <c r="BP4" s="16">
        <v>-1.63</v>
      </c>
      <c r="BQ4" s="16">
        <v>-0.92</v>
      </c>
      <c r="BR4" s="16">
        <v>-2.16</v>
      </c>
      <c r="BS4" s="16">
        <v>-0.86</v>
      </c>
      <c r="BT4" s="16">
        <v>-1.4653125</v>
      </c>
      <c r="BU4" s="16">
        <v>-0.6350999858609316</v>
      </c>
    </row>
    <row r="5" spans="1:73" s="102" customFormat="1" ht="12.75">
      <c r="A5" s="4">
        <f>IF(Demography!A4="","",Demography!A4)</f>
        <v>979</v>
      </c>
      <c r="B5" s="1">
        <v>2</v>
      </c>
      <c r="C5" s="1">
        <v>3</v>
      </c>
      <c r="D5" s="1">
        <v>1</v>
      </c>
      <c r="E5" s="1">
        <v>3</v>
      </c>
      <c r="F5" s="1" t="s">
        <v>34</v>
      </c>
      <c r="G5" s="1">
        <v>3</v>
      </c>
      <c r="H5" s="1">
        <v>2</v>
      </c>
      <c r="I5" s="1">
        <v>4</v>
      </c>
      <c r="J5" s="1">
        <v>2</v>
      </c>
      <c r="K5" s="1">
        <v>3</v>
      </c>
      <c r="L5" s="1">
        <v>2</v>
      </c>
      <c r="M5" s="1">
        <v>3</v>
      </c>
      <c r="N5" s="1">
        <v>1</v>
      </c>
      <c r="O5" s="1">
        <v>3</v>
      </c>
      <c r="P5" s="1">
        <v>2</v>
      </c>
      <c r="Q5" s="1">
        <v>3</v>
      </c>
      <c r="R5" s="1">
        <v>3</v>
      </c>
      <c r="S5" s="1">
        <v>2</v>
      </c>
      <c r="T5" s="1">
        <v>2</v>
      </c>
      <c r="U5" s="1">
        <v>2</v>
      </c>
      <c r="V5" s="1">
        <v>2</v>
      </c>
      <c r="W5" s="1">
        <v>2</v>
      </c>
      <c r="X5" s="1">
        <v>2</v>
      </c>
      <c r="Y5" s="1">
        <v>4</v>
      </c>
      <c r="Z5" s="1">
        <v>3</v>
      </c>
      <c r="AA5" s="1">
        <v>2</v>
      </c>
      <c r="AB5" s="1">
        <v>2</v>
      </c>
      <c r="AC5" s="1">
        <v>2</v>
      </c>
      <c r="AD5" s="1">
        <v>2</v>
      </c>
      <c r="AE5" s="1">
        <v>2</v>
      </c>
      <c r="AF5" s="1">
        <v>3</v>
      </c>
      <c r="AG5" s="1">
        <v>2</v>
      </c>
      <c r="AH5" s="1">
        <v>4</v>
      </c>
      <c r="AI5" s="1">
        <v>3</v>
      </c>
      <c r="AJ5" s="1">
        <v>3</v>
      </c>
      <c r="AK5" s="16">
        <v>-2.52</v>
      </c>
      <c r="AL5" s="16">
        <v>0.64</v>
      </c>
      <c r="AM5" s="16">
        <v>-4.44</v>
      </c>
      <c r="AN5" s="16">
        <v>-1</v>
      </c>
      <c r="AO5" s="16" t="s">
        <v>34</v>
      </c>
      <c r="AP5" s="16">
        <v>0.05</v>
      </c>
      <c r="AQ5" s="16">
        <v>-1.21</v>
      </c>
      <c r="AR5" s="16">
        <v>1.68</v>
      </c>
      <c r="AS5" s="16">
        <v>0.58</v>
      </c>
      <c r="AT5" s="16">
        <v>0.09</v>
      </c>
      <c r="AU5" s="16">
        <v>-1.21</v>
      </c>
      <c r="AV5" s="16">
        <v>0.18</v>
      </c>
      <c r="AW5" s="16">
        <v>-3.05</v>
      </c>
      <c r="AX5" s="16">
        <v>-0.11</v>
      </c>
      <c r="AY5" s="16">
        <v>-0.95</v>
      </c>
      <c r="AZ5" s="16">
        <v>0.12</v>
      </c>
      <c r="BA5" s="16">
        <v>-0.73</v>
      </c>
      <c r="BB5" s="16">
        <v>0.28</v>
      </c>
      <c r="BC5" s="16">
        <v>-0.5</v>
      </c>
      <c r="BD5" s="16">
        <v>-0.1</v>
      </c>
      <c r="BE5" s="16">
        <v>-0.42</v>
      </c>
      <c r="BF5" s="16">
        <v>-0.86</v>
      </c>
      <c r="BG5" s="16">
        <v>-0.12</v>
      </c>
      <c r="BH5" s="16">
        <v>0.75</v>
      </c>
      <c r="BI5" s="16">
        <v>-0.03</v>
      </c>
      <c r="BJ5" s="16">
        <v>-1.62</v>
      </c>
      <c r="BK5" s="16">
        <v>-0.94</v>
      </c>
      <c r="BL5" s="16">
        <v>-1.29</v>
      </c>
      <c r="BM5" s="16">
        <v>-1.19</v>
      </c>
      <c r="BN5" s="16">
        <v>-0.68</v>
      </c>
      <c r="BO5" s="16">
        <v>0.72</v>
      </c>
      <c r="BP5" s="16">
        <v>-0.21</v>
      </c>
      <c r="BQ5" s="16">
        <v>0.93</v>
      </c>
      <c r="BR5" s="16">
        <v>0.19</v>
      </c>
      <c r="BS5" s="16">
        <v>0.07</v>
      </c>
      <c r="BT5" s="16">
        <v>-0.49705882352941183</v>
      </c>
      <c r="BU5" s="16">
        <v>-0.18274004011659917</v>
      </c>
    </row>
    <row r="6" spans="1:73" s="102" customFormat="1" ht="12.75">
      <c r="A6" s="4">
        <f>IF(Demography!A5="","",Demography!A5)</f>
        <v>1035</v>
      </c>
      <c r="B6" s="1">
        <v>1</v>
      </c>
      <c r="C6" s="1">
        <v>3</v>
      </c>
      <c r="D6" s="1">
        <v>1</v>
      </c>
      <c r="E6" s="1" t="s">
        <v>34</v>
      </c>
      <c r="F6" s="1">
        <v>1</v>
      </c>
      <c r="G6" s="1">
        <v>1</v>
      </c>
      <c r="H6" s="1">
        <v>3</v>
      </c>
      <c r="I6" s="1">
        <v>4</v>
      </c>
      <c r="J6" s="1">
        <v>4</v>
      </c>
      <c r="K6" s="1">
        <v>3</v>
      </c>
      <c r="L6" s="1">
        <v>3</v>
      </c>
      <c r="M6" s="1">
        <v>3</v>
      </c>
      <c r="N6" s="1">
        <v>1</v>
      </c>
      <c r="O6" s="1">
        <v>2</v>
      </c>
      <c r="P6" s="1">
        <v>3</v>
      </c>
      <c r="Q6" s="1">
        <v>3</v>
      </c>
      <c r="R6" s="1">
        <v>2</v>
      </c>
      <c r="S6" s="1">
        <v>3</v>
      </c>
      <c r="T6" s="1">
        <v>3</v>
      </c>
      <c r="U6" s="1">
        <v>2</v>
      </c>
      <c r="V6" s="1">
        <v>3</v>
      </c>
      <c r="W6" s="1">
        <v>2</v>
      </c>
      <c r="X6" s="1">
        <v>2</v>
      </c>
      <c r="Y6" s="1">
        <v>2</v>
      </c>
      <c r="Z6" s="1">
        <v>3</v>
      </c>
      <c r="AA6" s="1">
        <v>3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4</v>
      </c>
      <c r="AI6" s="1">
        <v>4</v>
      </c>
      <c r="AJ6" s="1">
        <v>3</v>
      </c>
      <c r="AK6" s="16">
        <v>-3.94</v>
      </c>
      <c r="AL6" s="16">
        <v>0.64</v>
      </c>
      <c r="AM6" s="16">
        <v>-4.44</v>
      </c>
      <c r="AN6" s="16" t="s">
        <v>34</v>
      </c>
      <c r="AO6" s="16">
        <v>-2.88</v>
      </c>
      <c r="AP6" s="16">
        <v>-2.3</v>
      </c>
      <c r="AQ6" s="16">
        <v>-0.28</v>
      </c>
      <c r="AR6" s="16">
        <v>1.68</v>
      </c>
      <c r="AS6" s="16">
        <v>2.43</v>
      </c>
      <c r="AT6" s="16">
        <v>0.09</v>
      </c>
      <c r="AU6" s="16">
        <v>-0.28</v>
      </c>
      <c r="AV6" s="16">
        <v>0.18</v>
      </c>
      <c r="AW6" s="16">
        <v>-3.05</v>
      </c>
      <c r="AX6" s="16">
        <v>-1.04</v>
      </c>
      <c r="AY6" s="16">
        <v>-0.02</v>
      </c>
      <c r="AZ6" s="16">
        <v>0.12</v>
      </c>
      <c r="BA6" s="16">
        <v>-1.66</v>
      </c>
      <c r="BB6" s="16">
        <v>1.21</v>
      </c>
      <c r="BC6" s="16">
        <v>0.43</v>
      </c>
      <c r="BD6" s="16">
        <v>-0.1</v>
      </c>
      <c r="BE6" s="16">
        <v>0.51</v>
      </c>
      <c r="BF6" s="16">
        <v>-0.86</v>
      </c>
      <c r="BG6" s="16">
        <v>-0.12</v>
      </c>
      <c r="BH6" s="16">
        <v>-1.1</v>
      </c>
      <c r="BI6" s="16">
        <v>-0.03</v>
      </c>
      <c r="BJ6" s="16">
        <v>-0.69</v>
      </c>
      <c r="BK6" s="16">
        <v>-0.94</v>
      </c>
      <c r="BL6" s="16">
        <v>-1.29</v>
      </c>
      <c r="BM6" s="16">
        <v>-1.19</v>
      </c>
      <c r="BN6" s="16">
        <v>-0.68</v>
      </c>
      <c r="BO6" s="16">
        <v>-0.21</v>
      </c>
      <c r="BP6" s="16">
        <v>-0.21</v>
      </c>
      <c r="BQ6" s="16">
        <v>0.93</v>
      </c>
      <c r="BR6" s="16">
        <v>1.11</v>
      </c>
      <c r="BS6" s="16">
        <v>0.07</v>
      </c>
      <c r="BT6" s="16">
        <v>-0.5267647058823529</v>
      </c>
      <c r="BU6" s="16">
        <v>-0.19436915104815292</v>
      </c>
    </row>
    <row r="7" spans="1:78" s="102" customFormat="1" ht="12.75">
      <c r="A7" s="4">
        <f>IF(Demography!A6="","",Demography!A6)</f>
        <v>1018</v>
      </c>
      <c r="B7" s="4">
        <v>1</v>
      </c>
      <c r="C7" s="4">
        <v>2</v>
      </c>
      <c r="D7" s="4">
        <v>1</v>
      </c>
      <c r="E7" s="4" t="s">
        <v>34</v>
      </c>
      <c r="F7" s="4" t="s">
        <v>34</v>
      </c>
      <c r="G7" s="4">
        <v>1</v>
      </c>
      <c r="H7" s="4">
        <v>1</v>
      </c>
      <c r="I7" s="4">
        <v>2</v>
      </c>
      <c r="J7" s="4">
        <v>2</v>
      </c>
      <c r="K7" s="4" t="s">
        <v>34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2</v>
      </c>
      <c r="W7" s="4">
        <v>2</v>
      </c>
      <c r="X7" s="4">
        <v>2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2</v>
      </c>
      <c r="AH7" s="4">
        <v>2</v>
      </c>
      <c r="AI7" s="4">
        <v>1</v>
      </c>
      <c r="AJ7" s="4">
        <v>1</v>
      </c>
      <c r="AK7" s="6">
        <v>-3.94</v>
      </c>
      <c r="AL7" s="6">
        <v>-0.29</v>
      </c>
      <c r="AM7" s="6">
        <v>-4.44</v>
      </c>
      <c r="AN7" s="6" t="s">
        <v>34</v>
      </c>
      <c r="AO7" s="6" t="s">
        <v>34</v>
      </c>
      <c r="AP7" s="6">
        <v>-2.3</v>
      </c>
      <c r="AQ7" s="6">
        <v>-2.63</v>
      </c>
      <c r="AR7" s="6">
        <v>-0.17</v>
      </c>
      <c r="AS7" s="6">
        <v>0.58</v>
      </c>
      <c r="AT7" s="6" t="s">
        <v>34</v>
      </c>
      <c r="AU7" s="6">
        <v>-2.63</v>
      </c>
      <c r="AV7" s="6">
        <v>-2.17</v>
      </c>
      <c r="AW7" s="6">
        <v>-3.05</v>
      </c>
      <c r="AX7" s="6">
        <v>-2.46</v>
      </c>
      <c r="AY7" s="6">
        <v>-2.37</v>
      </c>
      <c r="AZ7" s="6">
        <v>-2.23</v>
      </c>
      <c r="BA7" s="6">
        <v>-3.08</v>
      </c>
      <c r="BB7" s="6">
        <v>-1.14</v>
      </c>
      <c r="BC7" s="6">
        <v>-1.92</v>
      </c>
      <c r="BD7" s="6">
        <v>-1.52</v>
      </c>
      <c r="BE7" s="6">
        <v>-0.42</v>
      </c>
      <c r="BF7" s="6">
        <v>-0.86</v>
      </c>
      <c r="BG7" s="6">
        <v>-0.12</v>
      </c>
      <c r="BH7" s="6">
        <v>-2.52</v>
      </c>
      <c r="BI7" s="6">
        <v>-2.38</v>
      </c>
      <c r="BJ7" s="6">
        <v>-3.04</v>
      </c>
      <c r="BK7" s="6">
        <v>-2.36</v>
      </c>
      <c r="BL7" s="6">
        <v>-2.71</v>
      </c>
      <c r="BM7" s="6">
        <v>-2.61</v>
      </c>
      <c r="BN7" s="6">
        <v>-2.1</v>
      </c>
      <c r="BO7" s="6">
        <v>-1.63</v>
      </c>
      <c r="BP7" s="6">
        <v>-0.21</v>
      </c>
      <c r="BQ7" s="6">
        <v>-0.92</v>
      </c>
      <c r="BR7" s="6">
        <v>-2.16</v>
      </c>
      <c r="BS7" s="6">
        <v>-2.28</v>
      </c>
      <c r="BT7" s="6">
        <v>-1.94</v>
      </c>
      <c r="BU7" s="6">
        <v>-1.0263289387223498</v>
      </c>
      <c r="BV7" s="325"/>
      <c r="BW7" s="325"/>
      <c r="BX7" s="325"/>
      <c r="BY7" s="325"/>
      <c r="BZ7" s="325"/>
    </row>
    <row r="8" spans="1:78" s="102" customFormat="1" ht="12.75">
      <c r="A8" s="315">
        <f>IF(Demography!A7="","",Demography!A7)</f>
        <v>1106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325"/>
      <c r="BW8" s="325"/>
      <c r="BX8" s="325"/>
      <c r="BY8" s="325"/>
      <c r="BZ8" s="325"/>
    </row>
    <row r="9" spans="1:78" s="102" customFormat="1" ht="12.75">
      <c r="A9" s="4">
        <f>IF(Demography!A8="","",Demography!A8)</f>
        <v>1109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325"/>
      <c r="BW9" s="325"/>
      <c r="BX9" s="325"/>
      <c r="BY9" s="325"/>
      <c r="BZ9" s="325"/>
    </row>
    <row r="10" spans="1:78" s="102" customFormat="1" ht="12.75">
      <c r="A10" s="315">
        <f>IF(Demography!A9="","",Demography!A9)</f>
        <v>1054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325"/>
      <c r="BW10" s="325"/>
      <c r="BX10" s="325"/>
      <c r="BY10" s="325"/>
      <c r="BZ10" s="325"/>
    </row>
    <row r="11" spans="1:78" s="102" customFormat="1" ht="12.75">
      <c r="A11" s="4">
        <f>IF(Demography!A10="","",Demography!A10)</f>
        <v>1141</v>
      </c>
      <c r="B11" s="4">
        <v>3</v>
      </c>
      <c r="C11" s="4">
        <v>4</v>
      </c>
      <c r="D11" s="4">
        <v>2</v>
      </c>
      <c r="E11" s="4" t="s">
        <v>34</v>
      </c>
      <c r="F11" s="4" t="s">
        <v>34</v>
      </c>
      <c r="G11" s="4">
        <v>3</v>
      </c>
      <c r="H11" s="4">
        <v>4</v>
      </c>
      <c r="I11" s="4">
        <v>3</v>
      </c>
      <c r="J11" s="4">
        <v>4</v>
      </c>
      <c r="K11" s="4">
        <v>3</v>
      </c>
      <c r="L11" s="4">
        <v>3</v>
      </c>
      <c r="M11" s="4">
        <v>4</v>
      </c>
      <c r="N11" s="4">
        <v>3</v>
      </c>
      <c r="O11" s="4">
        <v>4</v>
      </c>
      <c r="P11" s="4">
        <v>3</v>
      </c>
      <c r="Q11" s="4">
        <v>4</v>
      </c>
      <c r="R11" s="4">
        <v>2</v>
      </c>
      <c r="S11" s="4">
        <v>3</v>
      </c>
      <c r="T11" s="4">
        <v>5</v>
      </c>
      <c r="U11" s="4">
        <v>4</v>
      </c>
      <c r="V11" s="4">
        <v>3</v>
      </c>
      <c r="W11" s="4">
        <v>3</v>
      </c>
      <c r="X11" s="4">
        <v>3</v>
      </c>
      <c r="Y11" s="4">
        <v>4</v>
      </c>
      <c r="Z11" s="4">
        <v>4</v>
      </c>
      <c r="AA11" s="4">
        <v>3</v>
      </c>
      <c r="AB11" s="4">
        <v>3</v>
      </c>
      <c r="AC11" s="4">
        <v>4</v>
      </c>
      <c r="AD11" s="4">
        <v>4</v>
      </c>
      <c r="AE11" s="4">
        <v>4</v>
      </c>
      <c r="AF11" s="4">
        <v>4</v>
      </c>
      <c r="AG11" s="4">
        <v>3</v>
      </c>
      <c r="AH11" s="4">
        <v>3</v>
      </c>
      <c r="AI11" s="4">
        <v>3</v>
      </c>
      <c r="AJ11" s="4">
        <v>2</v>
      </c>
      <c r="AK11" s="6">
        <v>-1.59</v>
      </c>
      <c r="AL11" s="6">
        <v>1.56</v>
      </c>
      <c r="AM11" s="6">
        <v>-3.02</v>
      </c>
      <c r="AN11" s="6" t="s">
        <v>34</v>
      </c>
      <c r="AO11" s="6" t="s">
        <v>34</v>
      </c>
      <c r="AP11" s="6">
        <v>0.05</v>
      </c>
      <c r="AQ11" s="6">
        <v>0.64</v>
      </c>
      <c r="AR11" s="6">
        <v>0.76</v>
      </c>
      <c r="AS11" s="6">
        <v>2.43</v>
      </c>
      <c r="AT11" s="6">
        <v>0.09</v>
      </c>
      <c r="AU11" s="6">
        <v>-0.28</v>
      </c>
      <c r="AV11" s="6">
        <v>1.1</v>
      </c>
      <c r="AW11" s="6">
        <v>-0.7</v>
      </c>
      <c r="AX11" s="6">
        <v>0.81</v>
      </c>
      <c r="AY11" s="6">
        <v>-0.02</v>
      </c>
      <c r="AZ11" s="6">
        <v>1.04</v>
      </c>
      <c r="BA11" s="6">
        <v>-1.66</v>
      </c>
      <c r="BB11" s="6">
        <v>1.21</v>
      </c>
      <c r="BC11" s="6">
        <v>2.73</v>
      </c>
      <c r="BD11" s="6">
        <v>1.75</v>
      </c>
      <c r="BE11" s="6">
        <v>0.51</v>
      </c>
      <c r="BF11" s="6">
        <v>0.07</v>
      </c>
      <c r="BG11" s="6">
        <v>0.81</v>
      </c>
      <c r="BH11" s="6">
        <v>0.75</v>
      </c>
      <c r="BI11" s="6">
        <v>0.89</v>
      </c>
      <c r="BJ11" s="6">
        <v>-0.69</v>
      </c>
      <c r="BK11" s="6">
        <v>-0.01</v>
      </c>
      <c r="BL11" s="6">
        <v>0.56</v>
      </c>
      <c r="BM11" s="6">
        <v>0.66</v>
      </c>
      <c r="BN11" s="6">
        <v>1.17</v>
      </c>
      <c r="BO11" s="6">
        <v>1.64</v>
      </c>
      <c r="BP11" s="6">
        <v>0.72</v>
      </c>
      <c r="BQ11" s="6">
        <v>0.01</v>
      </c>
      <c r="BR11" s="6">
        <v>0.19</v>
      </c>
      <c r="BS11" s="6">
        <v>-0.86</v>
      </c>
      <c r="BT11" s="6">
        <v>0.40363636363636374</v>
      </c>
      <c r="BU11" s="6">
        <v>0.1581208049742272</v>
      </c>
      <c r="BV11" s="325"/>
      <c r="BW11" s="325"/>
      <c r="BX11" s="325"/>
      <c r="BY11" s="325"/>
      <c r="BZ11" s="325"/>
    </row>
    <row r="12" spans="1:78" s="102" customFormat="1" ht="12.75">
      <c r="A12" s="4">
        <f>IF(Demography!A11="","",Demography!A11)</f>
        <v>992</v>
      </c>
      <c r="B12" s="4">
        <v>1</v>
      </c>
      <c r="C12" s="4">
        <v>3</v>
      </c>
      <c r="D12" s="4">
        <v>1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2</v>
      </c>
      <c r="V12" s="4">
        <v>2</v>
      </c>
      <c r="W12" s="4">
        <v>1</v>
      </c>
      <c r="X12" s="4">
        <v>1</v>
      </c>
      <c r="Y12" s="4">
        <v>3</v>
      </c>
      <c r="Z12" s="4">
        <v>4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2</v>
      </c>
      <c r="AH12" s="4">
        <v>3</v>
      </c>
      <c r="AI12" s="4">
        <v>1</v>
      </c>
      <c r="AJ12" s="4">
        <v>2</v>
      </c>
      <c r="AK12" s="6">
        <v>-3.94</v>
      </c>
      <c r="AL12" s="6">
        <v>0.64</v>
      </c>
      <c r="AM12" s="6">
        <v>-4.44</v>
      </c>
      <c r="AN12" s="6">
        <v>-1.93</v>
      </c>
      <c r="AO12" s="6">
        <v>-1.46</v>
      </c>
      <c r="AP12" s="6">
        <v>-0.88</v>
      </c>
      <c r="AQ12" s="6">
        <v>-1.21</v>
      </c>
      <c r="AR12" s="6">
        <v>-0.17</v>
      </c>
      <c r="AS12" s="6">
        <v>0.58</v>
      </c>
      <c r="AT12" s="6">
        <v>-0.84</v>
      </c>
      <c r="AU12" s="6">
        <v>-2.63</v>
      </c>
      <c r="AV12" s="6">
        <v>-2.17</v>
      </c>
      <c r="AW12" s="6">
        <v>-3.05</v>
      </c>
      <c r="AX12" s="6">
        <v>-2.46</v>
      </c>
      <c r="AY12" s="6">
        <v>-2.37</v>
      </c>
      <c r="AZ12" s="6">
        <v>-2.23</v>
      </c>
      <c r="BA12" s="6">
        <v>-3.08</v>
      </c>
      <c r="BB12" s="6">
        <v>-1.14</v>
      </c>
      <c r="BC12" s="6">
        <v>-1.92</v>
      </c>
      <c r="BD12" s="6">
        <v>-0.1</v>
      </c>
      <c r="BE12" s="6">
        <v>-0.42</v>
      </c>
      <c r="BF12" s="6">
        <v>-2.28</v>
      </c>
      <c r="BG12" s="6">
        <v>-1.54</v>
      </c>
      <c r="BH12" s="6">
        <v>-0.17</v>
      </c>
      <c r="BI12" s="6">
        <v>0.89</v>
      </c>
      <c r="BJ12" s="6">
        <v>-3.04</v>
      </c>
      <c r="BK12" s="6">
        <v>-2.36</v>
      </c>
      <c r="BL12" s="6">
        <v>-2.71</v>
      </c>
      <c r="BM12" s="6">
        <v>-2.61</v>
      </c>
      <c r="BN12" s="6">
        <v>-2.1</v>
      </c>
      <c r="BO12" s="6">
        <v>-1.63</v>
      </c>
      <c r="BP12" s="6">
        <v>-0.21</v>
      </c>
      <c r="BQ12" s="6">
        <v>0.01</v>
      </c>
      <c r="BR12" s="6">
        <v>-2.16</v>
      </c>
      <c r="BS12" s="6">
        <v>-0.86</v>
      </c>
      <c r="BT12" s="6">
        <v>-1.5997142857142859</v>
      </c>
      <c r="BU12" s="6">
        <v>-0.7227456525272004</v>
      </c>
      <c r="BV12" s="325"/>
      <c r="BW12" s="325"/>
      <c r="BX12" s="325"/>
      <c r="BY12" s="325"/>
      <c r="BZ12" s="325"/>
    </row>
    <row r="13" spans="1:78" s="102" customFormat="1" ht="12.75">
      <c r="A13" s="4">
        <f>IF(Demography!A12="","",Demography!A12)</f>
        <v>1163</v>
      </c>
      <c r="B13" s="4">
        <v>1</v>
      </c>
      <c r="C13" s="4">
        <v>2</v>
      </c>
      <c r="D13" s="4">
        <v>2</v>
      </c>
      <c r="E13" s="4" t="s">
        <v>34</v>
      </c>
      <c r="F13" s="4">
        <v>1</v>
      </c>
      <c r="G13" s="4">
        <v>1</v>
      </c>
      <c r="H13" s="4">
        <v>2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2</v>
      </c>
      <c r="Q13" s="4">
        <v>2</v>
      </c>
      <c r="R13" s="4">
        <v>2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3</v>
      </c>
      <c r="Z13" s="4">
        <v>3</v>
      </c>
      <c r="AA13" s="4">
        <v>2</v>
      </c>
      <c r="AB13" s="4">
        <v>2</v>
      </c>
      <c r="AC13" s="4">
        <v>2</v>
      </c>
      <c r="AD13" s="4">
        <v>2</v>
      </c>
      <c r="AE13" s="4">
        <v>2</v>
      </c>
      <c r="AF13" s="4">
        <v>2</v>
      </c>
      <c r="AG13" s="4">
        <v>2</v>
      </c>
      <c r="AH13" s="4">
        <v>1</v>
      </c>
      <c r="AI13" s="4">
        <v>1</v>
      </c>
      <c r="AJ13" s="4">
        <v>1</v>
      </c>
      <c r="AK13" s="6">
        <v>-3.94</v>
      </c>
      <c r="AL13" s="6">
        <v>-0.29</v>
      </c>
      <c r="AM13" s="6">
        <v>-3.02</v>
      </c>
      <c r="AN13" s="6" t="s">
        <v>34</v>
      </c>
      <c r="AO13" s="6">
        <v>-2.88</v>
      </c>
      <c r="AP13" s="6">
        <v>-2.3</v>
      </c>
      <c r="AQ13" s="6">
        <v>-1.21</v>
      </c>
      <c r="AR13" s="6">
        <v>-1.59</v>
      </c>
      <c r="AS13" s="6">
        <v>-0.84</v>
      </c>
      <c r="AT13" s="6">
        <v>-2.26</v>
      </c>
      <c r="AU13" s="6">
        <v>-2.63</v>
      </c>
      <c r="AV13" s="6">
        <v>-2.17</v>
      </c>
      <c r="AW13" s="6">
        <v>-3.05</v>
      </c>
      <c r="AX13" s="6">
        <v>-2.46</v>
      </c>
      <c r="AY13" s="6">
        <v>-0.95</v>
      </c>
      <c r="AZ13" s="6">
        <v>-0.81</v>
      </c>
      <c r="BA13" s="6">
        <v>-1.66</v>
      </c>
      <c r="BB13" s="6">
        <v>-1.14</v>
      </c>
      <c r="BC13" s="6">
        <v>-1.92</v>
      </c>
      <c r="BD13" s="6">
        <v>-1.52</v>
      </c>
      <c r="BE13" s="6">
        <v>-1.84</v>
      </c>
      <c r="BF13" s="6">
        <v>-2.28</v>
      </c>
      <c r="BG13" s="6">
        <v>-1.54</v>
      </c>
      <c r="BH13" s="6">
        <v>-0.17</v>
      </c>
      <c r="BI13" s="6">
        <v>-0.03</v>
      </c>
      <c r="BJ13" s="6">
        <v>-1.62</v>
      </c>
      <c r="BK13" s="6">
        <v>-0.94</v>
      </c>
      <c r="BL13" s="6">
        <v>-1.29</v>
      </c>
      <c r="BM13" s="6">
        <v>-1.19</v>
      </c>
      <c r="BN13" s="6">
        <v>-0.68</v>
      </c>
      <c r="BO13" s="6">
        <v>-0.21</v>
      </c>
      <c r="BP13" s="6">
        <v>-0.21</v>
      </c>
      <c r="BQ13" s="6">
        <v>-2.34</v>
      </c>
      <c r="BR13" s="6">
        <v>-2.16</v>
      </c>
      <c r="BS13" s="6">
        <v>-2.28</v>
      </c>
      <c r="BT13" s="6">
        <v>-1.63</v>
      </c>
      <c r="BU13" s="6">
        <v>-0.744237873106499</v>
      </c>
      <c r="BV13" s="325"/>
      <c r="BW13" s="325"/>
      <c r="BX13" s="325"/>
      <c r="BY13" s="325"/>
      <c r="BZ13" s="325"/>
    </row>
    <row r="14" spans="1:78" s="102" customFormat="1" ht="12.75">
      <c r="A14" s="4">
        <f>IF(Demography!A13="","",Demography!A13)</f>
        <v>1190</v>
      </c>
      <c r="B14" s="4">
        <v>2</v>
      </c>
      <c r="C14" s="4">
        <v>5</v>
      </c>
      <c r="D14" s="4">
        <v>2</v>
      </c>
      <c r="E14" s="4" t="s">
        <v>34</v>
      </c>
      <c r="F14" s="4" t="s">
        <v>34</v>
      </c>
      <c r="G14" s="4">
        <v>4</v>
      </c>
      <c r="H14" s="4">
        <v>3</v>
      </c>
      <c r="I14" s="4">
        <v>5</v>
      </c>
      <c r="J14" s="4">
        <v>5</v>
      </c>
      <c r="K14" s="4">
        <v>3</v>
      </c>
      <c r="L14" s="4">
        <v>5</v>
      </c>
      <c r="M14" s="4">
        <v>4</v>
      </c>
      <c r="N14" s="4">
        <v>3</v>
      </c>
      <c r="O14" s="4">
        <v>5</v>
      </c>
      <c r="P14" s="4">
        <v>3</v>
      </c>
      <c r="Q14" s="4">
        <v>4</v>
      </c>
      <c r="R14" s="4">
        <v>4</v>
      </c>
      <c r="S14" s="4" t="s">
        <v>34</v>
      </c>
      <c r="T14" s="4">
        <v>1</v>
      </c>
      <c r="U14" s="4">
        <v>2</v>
      </c>
      <c r="V14" s="4" t="s">
        <v>34</v>
      </c>
      <c r="W14" s="4">
        <v>2</v>
      </c>
      <c r="X14" s="4">
        <v>3</v>
      </c>
      <c r="Y14" s="4">
        <v>5</v>
      </c>
      <c r="Z14" s="4">
        <v>3</v>
      </c>
      <c r="AA14" s="4">
        <v>1</v>
      </c>
      <c r="AB14" s="4">
        <v>1</v>
      </c>
      <c r="AC14" s="4">
        <v>1</v>
      </c>
      <c r="AD14" s="4">
        <v>3</v>
      </c>
      <c r="AE14" s="4">
        <v>4</v>
      </c>
      <c r="AF14" s="4">
        <v>5</v>
      </c>
      <c r="AG14" s="4">
        <v>4</v>
      </c>
      <c r="AH14" s="4">
        <v>5</v>
      </c>
      <c r="AI14" s="4">
        <v>5</v>
      </c>
      <c r="AJ14" s="4">
        <v>5</v>
      </c>
      <c r="AK14" s="6">
        <v>-2.52</v>
      </c>
      <c r="AL14" s="6">
        <v>2.94</v>
      </c>
      <c r="AM14" s="6">
        <v>-3.02</v>
      </c>
      <c r="AN14" s="6" t="s">
        <v>34</v>
      </c>
      <c r="AO14" s="6" t="s">
        <v>34</v>
      </c>
      <c r="AP14" s="6">
        <v>0.97</v>
      </c>
      <c r="AQ14" s="6">
        <v>-0.28</v>
      </c>
      <c r="AR14" s="6">
        <v>3.06</v>
      </c>
      <c r="AS14" s="6">
        <v>3.81</v>
      </c>
      <c r="AT14" s="6">
        <v>0.09</v>
      </c>
      <c r="AU14" s="6">
        <v>2.02</v>
      </c>
      <c r="AV14" s="6">
        <v>1.1</v>
      </c>
      <c r="AW14" s="6">
        <v>-0.7</v>
      </c>
      <c r="AX14" s="6">
        <v>2.19</v>
      </c>
      <c r="AY14" s="6">
        <v>-0.02</v>
      </c>
      <c r="AZ14" s="6">
        <v>1.04</v>
      </c>
      <c r="BA14" s="6">
        <v>0.19</v>
      </c>
      <c r="BB14" s="6" t="s">
        <v>34</v>
      </c>
      <c r="BC14" s="6">
        <v>-1.92</v>
      </c>
      <c r="BD14" s="6">
        <v>-0.1</v>
      </c>
      <c r="BE14" s="6" t="s">
        <v>34</v>
      </c>
      <c r="BF14" s="6">
        <v>-0.86</v>
      </c>
      <c r="BG14" s="6">
        <v>0.81</v>
      </c>
      <c r="BH14" s="6">
        <v>2.13</v>
      </c>
      <c r="BI14" s="6">
        <v>-0.03</v>
      </c>
      <c r="BJ14" s="6">
        <v>-3.04</v>
      </c>
      <c r="BK14" s="6">
        <v>-2.36</v>
      </c>
      <c r="BL14" s="6">
        <v>-2.71</v>
      </c>
      <c r="BM14" s="6">
        <v>-0.26</v>
      </c>
      <c r="BN14" s="6">
        <v>1.17</v>
      </c>
      <c r="BO14" s="6">
        <v>3.02</v>
      </c>
      <c r="BP14" s="6">
        <v>1.64</v>
      </c>
      <c r="BQ14" s="6">
        <v>2.31</v>
      </c>
      <c r="BR14" s="6">
        <v>2.49</v>
      </c>
      <c r="BS14" s="6">
        <v>2.37</v>
      </c>
      <c r="BT14" s="6">
        <v>0.5009677419354839</v>
      </c>
      <c r="BU14" s="6">
        <v>0.19601999138461393</v>
      </c>
      <c r="BV14" s="325"/>
      <c r="BW14" s="325"/>
      <c r="BX14" s="325"/>
      <c r="BY14" s="325"/>
      <c r="BZ14" s="325"/>
    </row>
    <row r="15" spans="1:78" s="102" customFormat="1" ht="12.75">
      <c r="A15" s="4">
        <f>IF(Demography!A14="","",Demography!A14)</f>
        <v>1231</v>
      </c>
      <c r="B15" s="4">
        <v>1</v>
      </c>
      <c r="C15" s="4">
        <v>3</v>
      </c>
      <c r="D15" s="4">
        <v>1</v>
      </c>
      <c r="E15" s="4">
        <v>3</v>
      </c>
      <c r="F15" s="4">
        <v>1</v>
      </c>
      <c r="G15" s="4">
        <v>3</v>
      </c>
      <c r="H15" s="4">
        <v>1</v>
      </c>
      <c r="I15" s="4">
        <v>3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3</v>
      </c>
      <c r="P15" s="4">
        <v>2</v>
      </c>
      <c r="Q15" s="4">
        <v>2</v>
      </c>
      <c r="R15" s="4">
        <v>3</v>
      </c>
      <c r="S15" s="4">
        <v>2</v>
      </c>
      <c r="T15" s="4">
        <v>3</v>
      </c>
      <c r="U15" s="4">
        <v>2</v>
      </c>
      <c r="V15" s="4">
        <v>3</v>
      </c>
      <c r="W15" s="4">
        <v>1</v>
      </c>
      <c r="X15" s="4">
        <v>3</v>
      </c>
      <c r="Y15" s="4">
        <v>2</v>
      </c>
      <c r="Z15" s="4">
        <v>3</v>
      </c>
      <c r="AA15" s="4">
        <v>3</v>
      </c>
      <c r="AB15" s="4">
        <v>1</v>
      </c>
      <c r="AC15" s="4">
        <v>2</v>
      </c>
      <c r="AD15" s="4">
        <v>2</v>
      </c>
      <c r="AE15" s="4">
        <v>3</v>
      </c>
      <c r="AF15" s="4">
        <v>2</v>
      </c>
      <c r="AG15" s="4">
        <v>2</v>
      </c>
      <c r="AH15" s="4">
        <v>3</v>
      </c>
      <c r="AI15" s="4">
        <v>4</v>
      </c>
      <c r="AJ15" s="4">
        <v>2</v>
      </c>
      <c r="AK15" s="6">
        <v>-3.94</v>
      </c>
      <c r="AL15" s="6">
        <v>0.64</v>
      </c>
      <c r="AM15" s="6">
        <v>-4.44</v>
      </c>
      <c r="AN15" s="6">
        <v>-1</v>
      </c>
      <c r="AO15" s="6">
        <v>-2.88</v>
      </c>
      <c r="AP15" s="6">
        <v>0.05</v>
      </c>
      <c r="AQ15" s="6">
        <v>-2.63</v>
      </c>
      <c r="AR15" s="6">
        <v>0.76</v>
      </c>
      <c r="AS15" s="6">
        <v>0.58</v>
      </c>
      <c r="AT15" s="6">
        <v>-0.84</v>
      </c>
      <c r="AU15" s="6">
        <v>-1.21</v>
      </c>
      <c r="AV15" s="6">
        <v>-0.75</v>
      </c>
      <c r="AW15" s="6">
        <v>-1.63</v>
      </c>
      <c r="AX15" s="6">
        <v>-0.11</v>
      </c>
      <c r="AY15" s="6">
        <v>-0.95</v>
      </c>
      <c r="AZ15" s="6">
        <v>-0.81</v>
      </c>
      <c r="BA15" s="6">
        <v>-0.73</v>
      </c>
      <c r="BB15" s="6">
        <v>0.28</v>
      </c>
      <c r="BC15" s="6">
        <v>0.43</v>
      </c>
      <c r="BD15" s="6">
        <v>-0.1</v>
      </c>
      <c r="BE15" s="6">
        <v>0.51</v>
      </c>
      <c r="BF15" s="6">
        <v>-2.28</v>
      </c>
      <c r="BG15" s="6">
        <v>0.81</v>
      </c>
      <c r="BH15" s="6">
        <v>-1.1</v>
      </c>
      <c r="BI15" s="6">
        <v>-0.03</v>
      </c>
      <c r="BJ15" s="6">
        <v>-0.69</v>
      </c>
      <c r="BK15" s="6">
        <v>-2.36</v>
      </c>
      <c r="BL15" s="6">
        <v>-1.29</v>
      </c>
      <c r="BM15" s="6">
        <v>-1.19</v>
      </c>
      <c r="BN15" s="6">
        <v>0.25</v>
      </c>
      <c r="BO15" s="6">
        <v>-0.21</v>
      </c>
      <c r="BP15" s="6">
        <v>-0.21</v>
      </c>
      <c r="BQ15" s="6">
        <v>0.01</v>
      </c>
      <c r="BR15" s="6">
        <v>1.11</v>
      </c>
      <c r="BS15" s="6">
        <v>-0.86</v>
      </c>
      <c r="BT15" s="6">
        <v>-0.766</v>
      </c>
      <c r="BU15" s="6">
        <v>-0.29098160310634774</v>
      </c>
      <c r="BV15" s="325"/>
      <c r="BW15" s="325"/>
      <c r="BX15" s="325"/>
      <c r="BY15" s="325"/>
      <c r="BZ15" s="325"/>
    </row>
    <row r="16" spans="1:78" s="102" customFormat="1" ht="12.75">
      <c r="A16" s="315">
        <f>IF(Demography!A15="","",Demography!A15)</f>
        <v>1235</v>
      </c>
      <c r="B16" s="6"/>
      <c r="C16" s="6"/>
      <c r="D16" s="6"/>
      <c r="E16" s="6"/>
      <c r="F16" s="6"/>
      <c r="G16" s="6"/>
      <c r="H16" s="6"/>
      <c r="I16" s="6"/>
      <c r="J16" s="4"/>
      <c r="K16" s="4"/>
      <c r="L16" s="4"/>
      <c r="M16" s="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325"/>
      <c r="BW16" s="325"/>
      <c r="BX16" s="325"/>
      <c r="BY16" s="325"/>
      <c r="BZ16" s="325"/>
    </row>
    <row r="17" spans="1:78" s="102" customFormat="1" ht="12.75">
      <c r="A17" s="4">
        <f>IF(Demography!A16="","",Demography!A16)</f>
        <v>1249</v>
      </c>
      <c r="B17" s="4">
        <v>2</v>
      </c>
      <c r="C17" s="4">
        <v>4</v>
      </c>
      <c r="D17" s="4">
        <v>1</v>
      </c>
      <c r="E17" s="4" t="s">
        <v>34</v>
      </c>
      <c r="F17" s="4" t="s">
        <v>34</v>
      </c>
      <c r="G17" s="4">
        <v>2</v>
      </c>
      <c r="H17" s="4">
        <v>2</v>
      </c>
      <c r="I17" s="4">
        <v>3</v>
      </c>
      <c r="J17" s="4">
        <v>1</v>
      </c>
      <c r="K17" s="4" t="s">
        <v>34</v>
      </c>
      <c r="L17" s="4" t="s">
        <v>34</v>
      </c>
      <c r="M17" s="4" t="s">
        <v>34</v>
      </c>
      <c r="N17" s="4">
        <v>2</v>
      </c>
      <c r="O17" s="4">
        <v>2</v>
      </c>
      <c r="P17" s="4">
        <v>3</v>
      </c>
      <c r="Q17" s="4">
        <v>3</v>
      </c>
      <c r="R17" s="4">
        <v>2</v>
      </c>
      <c r="S17" s="4">
        <v>3</v>
      </c>
      <c r="T17" s="4">
        <v>2</v>
      </c>
      <c r="U17" s="4">
        <v>2</v>
      </c>
      <c r="V17" s="4">
        <v>1</v>
      </c>
      <c r="W17" s="4">
        <v>2</v>
      </c>
      <c r="X17" s="4">
        <v>3</v>
      </c>
      <c r="Y17" s="4">
        <v>3</v>
      </c>
      <c r="Z17" s="4">
        <v>2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2</v>
      </c>
      <c r="AH17" s="4">
        <v>2</v>
      </c>
      <c r="AI17" s="4">
        <v>1</v>
      </c>
      <c r="AJ17" s="4">
        <v>1</v>
      </c>
      <c r="AK17" s="6">
        <v>-2.52</v>
      </c>
      <c r="AL17" s="6">
        <v>1.56</v>
      </c>
      <c r="AM17" s="6">
        <v>-4.44</v>
      </c>
      <c r="AN17" s="6" t="s">
        <v>34</v>
      </c>
      <c r="AO17" s="6" t="s">
        <v>34</v>
      </c>
      <c r="AP17" s="6">
        <v>-0.88</v>
      </c>
      <c r="AQ17" s="6">
        <v>-1.21</v>
      </c>
      <c r="AR17" s="6">
        <v>0.76</v>
      </c>
      <c r="AS17" s="6">
        <v>-0.84</v>
      </c>
      <c r="AT17" s="6" t="s">
        <v>34</v>
      </c>
      <c r="AU17" s="6" t="s">
        <v>34</v>
      </c>
      <c r="AV17" s="6" t="s">
        <v>34</v>
      </c>
      <c r="AW17" s="6">
        <v>-1.63</v>
      </c>
      <c r="AX17" s="6">
        <v>-1.04</v>
      </c>
      <c r="AY17" s="6">
        <v>-0.02</v>
      </c>
      <c r="AZ17" s="6">
        <v>0.12</v>
      </c>
      <c r="BA17" s="6">
        <v>-1.66</v>
      </c>
      <c r="BB17" s="6">
        <v>1.21</v>
      </c>
      <c r="BC17" s="6">
        <v>-0.5</v>
      </c>
      <c r="BD17" s="6">
        <v>-0.1</v>
      </c>
      <c r="BE17" s="6">
        <v>-1.84</v>
      </c>
      <c r="BF17" s="6">
        <v>-0.86</v>
      </c>
      <c r="BG17" s="6">
        <v>0.81</v>
      </c>
      <c r="BH17" s="6">
        <v>-0.17</v>
      </c>
      <c r="BI17" s="6">
        <v>-0.96</v>
      </c>
      <c r="BJ17" s="6">
        <v>-3.04</v>
      </c>
      <c r="BK17" s="6">
        <v>-2.36</v>
      </c>
      <c r="BL17" s="6">
        <v>-2.71</v>
      </c>
      <c r="BM17" s="6">
        <v>-2.61</v>
      </c>
      <c r="BN17" s="6">
        <v>-2.1</v>
      </c>
      <c r="BO17" s="6">
        <v>-1.63</v>
      </c>
      <c r="BP17" s="6">
        <v>-0.21</v>
      </c>
      <c r="BQ17" s="6">
        <v>-0.92</v>
      </c>
      <c r="BR17" s="6">
        <v>-2.16</v>
      </c>
      <c r="BS17" s="6">
        <v>-2.28</v>
      </c>
      <c r="BT17" s="6">
        <v>-1.1410000000000002</v>
      </c>
      <c r="BU17" s="6">
        <v>-0.4591257761926384</v>
      </c>
      <c r="BV17" s="325"/>
      <c r="BW17" s="325"/>
      <c r="BX17" s="325"/>
      <c r="BY17" s="325"/>
      <c r="BZ17" s="325"/>
    </row>
    <row r="18" spans="1:78" s="102" customFormat="1" ht="12.75">
      <c r="A18" s="4">
        <f>IF(Demography!A17="","",Demography!A17)</f>
        <v>1308</v>
      </c>
      <c r="B18" s="4">
        <v>1</v>
      </c>
      <c r="C18" s="4">
        <v>3</v>
      </c>
      <c r="D18" s="4">
        <v>1</v>
      </c>
      <c r="E18" s="4">
        <v>1</v>
      </c>
      <c r="F18" s="4" t="s">
        <v>34</v>
      </c>
      <c r="G18" s="4">
        <v>3</v>
      </c>
      <c r="H18" s="4">
        <v>3</v>
      </c>
      <c r="I18" s="4">
        <v>3</v>
      </c>
      <c r="J18" s="4">
        <v>3</v>
      </c>
      <c r="K18" s="4">
        <v>3</v>
      </c>
      <c r="L18" s="4">
        <v>1</v>
      </c>
      <c r="M18" s="4">
        <v>2</v>
      </c>
      <c r="N18" s="4">
        <v>1</v>
      </c>
      <c r="O18" s="4">
        <v>2</v>
      </c>
      <c r="P18" s="4">
        <v>2</v>
      </c>
      <c r="Q18" s="4">
        <v>2</v>
      </c>
      <c r="R18" s="4">
        <v>1</v>
      </c>
      <c r="S18" s="4">
        <v>2</v>
      </c>
      <c r="T18" s="4">
        <v>1</v>
      </c>
      <c r="U18" s="4">
        <v>2</v>
      </c>
      <c r="V18" s="4">
        <v>2</v>
      </c>
      <c r="W18" s="4">
        <v>1</v>
      </c>
      <c r="X18" s="4">
        <v>2</v>
      </c>
      <c r="Y18" s="4">
        <v>1</v>
      </c>
      <c r="Z18" s="4">
        <v>2</v>
      </c>
      <c r="AA18" s="4">
        <v>2</v>
      </c>
      <c r="AB18" s="4">
        <v>1</v>
      </c>
      <c r="AC18" s="4">
        <v>1</v>
      </c>
      <c r="AD18" s="4">
        <v>2</v>
      </c>
      <c r="AE18" s="4">
        <v>2</v>
      </c>
      <c r="AF18" s="4">
        <v>2</v>
      </c>
      <c r="AG18" s="4">
        <v>2</v>
      </c>
      <c r="AH18" s="4">
        <v>2</v>
      </c>
      <c r="AI18" s="4">
        <v>2</v>
      </c>
      <c r="AJ18" s="4">
        <v>2</v>
      </c>
      <c r="AK18" s="6">
        <v>-3.94</v>
      </c>
      <c r="AL18" s="6">
        <v>0.64</v>
      </c>
      <c r="AM18" s="6">
        <v>-4.44</v>
      </c>
      <c r="AN18" s="6">
        <v>-3.35</v>
      </c>
      <c r="AO18" s="6" t="s">
        <v>34</v>
      </c>
      <c r="AP18" s="6">
        <v>0.05</v>
      </c>
      <c r="AQ18" s="6">
        <v>-0.28</v>
      </c>
      <c r="AR18" s="6">
        <v>0.76</v>
      </c>
      <c r="AS18" s="6">
        <v>1.51</v>
      </c>
      <c r="AT18" s="6">
        <v>0.09</v>
      </c>
      <c r="AU18" s="6">
        <v>-2.63</v>
      </c>
      <c r="AV18" s="6">
        <v>-0.75</v>
      </c>
      <c r="AW18" s="6">
        <v>-3.05</v>
      </c>
      <c r="AX18" s="6">
        <v>-1.04</v>
      </c>
      <c r="AY18" s="6">
        <v>-0.95</v>
      </c>
      <c r="AZ18" s="6">
        <v>-0.81</v>
      </c>
      <c r="BA18" s="6">
        <v>-3.08</v>
      </c>
      <c r="BB18" s="6">
        <v>0.28</v>
      </c>
      <c r="BC18" s="6">
        <v>-1.92</v>
      </c>
      <c r="BD18" s="6">
        <v>-0.1</v>
      </c>
      <c r="BE18" s="6">
        <v>-0.42</v>
      </c>
      <c r="BF18" s="6">
        <v>-2.28</v>
      </c>
      <c r="BG18" s="6">
        <v>-0.12</v>
      </c>
      <c r="BH18" s="6">
        <v>-2.52</v>
      </c>
      <c r="BI18" s="6">
        <v>-0.96</v>
      </c>
      <c r="BJ18" s="6">
        <v>-1.62</v>
      </c>
      <c r="BK18" s="6">
        <v>-2.36</v>
      </c>
      <c r="BL18" s="6">
        <v>-2.71</v>
      </c>
      <c r="BM18" s="6">
        <v>-1.19</v>
      </c>
      <c r="BN18" s="6">
        <v>-0.68</v>
      </c>
      <c r="BO18" s="6">
        <v>-0.21</v>
      </c>
      <c r="BP18" s="6">
        <v>-0.21</v>
      </c>
      <c r="BQ18" s="6">
        <v>-0.92</v>
      </c>
      <c r="BR18" s="6">
        <v>-0.74</v>
      </c>
      <c r="BS18" s="6">
        <v>-0.86</v>
      </c>
      <c r="BT18" s="6">
        <v>-1.2002941176470592</v>
      </c>
      <c r="BU18" s="6">
        <v>-0.4885507165004445</v>
      </c>
      <c r="BV18" s="325"/>
      <c r="BW18" s="325"/>
      <c r="BX18" s="325"/>
      <c r="BY18" s="325"/>
      <c r="BZ18" s="325"/>
    </row>
    <row r="19" spans="1:78" s="102" customFormat="1" ht="12.75">
      <c r="A19" s="4">
        <f>IF(Demography!A18="","",Demography!A18)</f>
        <v>1287</v>
      </c>
      <c r="B19" s="4">
        <v>1</v>
      </c>
      <c r="C19" s="4">
        <v>2</v>
      </c>
      <c r="D19" s="4">
        <v>1</v>
      </c>
      <c r="E19" s="4" t="s">
        <v>34</v>
      </c>
      <c r="F19" s="4" t="s">
        <v>34</v>
      </c>
      <c r="G19" s="4">
        <v>1</v>
      </c>
      <c r="H19" s="4">
        <v>1</v>
      </c>
      <c r="I19" s="4">
        <v>2</v>
      </c>
      <c r="J19" s="4" t="s">
        <v>34</v>
      </c>
      <c r="K19" s="4" t="s">
        <v>34</v>
      </c>
      <c r="L19" s="4">
        <v>1</v>
      </c>
      <c r="M19" s="4">
        <v>2</v>
      </c>
      <c r="N19" s="4">
        <v>1</v>
      </c>
      <c r="O19" s="4">
        <v>2</v>
      </c>
      <c r="P19" s="4">
        <v>1</v>
      </c>
      <c r="Q19" s="4">
        <v>2</v>
      </c>
      <c r="R19" s="4">
        <v>1</v>
      </c>
      <c r="S19" s="4">
        <v>3</v>
      </c>
      <c r="T19" s="4">
        <v>2</v>
      </c>
      <c r="U19" s="4">
        <v>2</v>
      </c>
      <c r="V19" s="4">
        <v>2</v>
      </c>
      <c r="W19" s="4">
        <v>1</v>
      </c>
      <c r="X19" s="4">
        <v>1</v>
      </c>
      <c r="Y19" s="4">
        <v>3</v>
      </c>
      <c r="Z19" s="4">
        <v>2</v>
      </c>
      <c r="AA19" s="4">
        <v>1</v>
      </c>
      <c r="AB19" s="4">
        <v>1</v>
      </c>
      <c r="AC19" s="4">
        <v>1</v>
      </c>
      <c r="AD19" s="4">
        <v>1</v>
      </c>
      <c r="AE19" s="4">
        <v>2</v>
      </c>
      <c r="AF19" s="4">
        <v>2</v>
      </c>
      <c r="AG19" s="4">
        <v>3</v>
      </c>
      <c r="AH19" s="4">
        <v>1</v>
      </c>
      <c r="AI19" s="4">
        <v>1</v>
      </c>
      <c r="AJ19" s="4">
        <v>1</v>
      </c>
      <c r="AK19" s="6">
        <v>-3.94</v>
      </c>
      <c r="AL19" s="6">
        <v>-0.29</v>
      </c>
      <c r="AM19" s="6">
        <v>-4.44</v>
      </c>
      <c r="AN19" s="6" t="s">
        <v>34</v>
      </c>
      <c r="AO19" s="6" t="s">
        <v>34</v>
      </c>
      <c r="AP19" s="6">
        <v>-2.3</v>
      </c>
      <c r="AQ19" s="6">
        <v>-2.63</v>
      </c>
      <c r="AR19" s="6">
        <v>-0.17</v>
      </c>
      <c r="AS19" s="6" t="s">
        <v>34</v>
      </c>
      <c r="AT19" s="6" t="s">
        <v>34</v>
      </c>
      <c r="AU19" s="6">
        <v>-2.63</v>
      </c>
      <c r="AV19" s="6">
        <v>-0.75</v>
      </c>
      <c r="AW19" s="6">
        <v>-3.05</v>
      </c>
      <c r="AX19" s="6">
        <v>-1.04</v>
      </c>
      <c r="AY19" s="6">
        <v>-2.37</v>
      </c>
      <c r="AZ19" s="6">
        <v>-0.81</v>
      </c>
      <c r="BA19" s="6">
        <v>-3.08</v>
      </c>
      <c r="BB19" s="6">
        <v>1.21</v>
      </c>
      <c r="BC19" s="6">
        <v>-0.5</v>
      </c>
      <c r="BD19" s="6">
        <v>-0.1</v>
      </c>
      <c r="BE19" s="6">
        <v>-0.42</v>
      </c>
      <c r="BF19" s="6">
        <v>-2.28</v>
      </c>
      <c r="BG19" s="6">
        <v>-1.54</v>
      </c>
      <c r="BH19" s="6">
        <v>-0.17</v>
      </c>
      <c r="BI19" s="6">
        <v>-0.96</v>
      </c>
      <c r="BJ19" s="6">
        <v>-3.04</v>
      </c>
      <c r="BK19" s="6">
        <v>-2.36</v>
      </c>
      <c r="BL19" s="6">
        <v>-2.71</v>
      </c>
      <c r="BM19" s="6">
        <v>-2.61</v>
      </c>
      <c r="BN19" s="6">
        <v>-0.68</v>
      </c>
      <c r="BO19" s="6">
        <v>-0.21</v>
      </c>
      <c r="BP19" s="6">
        <v>0.72</v>
      </c>
      <c r="BQ19" s="6">
        <v>-2.34</v>
      </c>
      <c r="BR19" s="6">
        <v>-2.16</v>
      </c>
      <c r="BS19" s="6">
        <v>-2.28</v>
      </c>
      <c r="BT19" s="6">
        <v>-1.6106451612903228</v>
      </c>
      <c r="BU19" s="6">
        <v>-0.730418669665938</v>
      </c>
      <c r="BV19" s="325"/>
      <c r="BW19" s="325"/>
      <c r="BX19" s="325"/>
      <c r="BY19" s="325"/>
      <c r="BZ19" s="325"/>
    </row>
    <row r="20" spans="1:78" s="102" customFormat="1" ht="12.75">
      <c r="A20" s="4">
        <f>IF(Demography!A19="","",Demography!A19)</f>
        <v>1467</v>
      </c>
      <c r="B20" s="4">
        <v>1</v>
      </c>
      <c r="C20" s="4">
        <v>1</v>
      </c>
      <c r="D20" s="4">
        <v>1</v>
      </c>
      <c r="E20" s="4" t="s">
        <v>34</v>
      </c>
      <c r="F20" s="4" t="s">
        <v>34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2</v>
      </c>
      <c r="M20" s="4">
        <v>2</v>
      </c>
      <c r="N20" s="4">
        <v>2</v>
      </c>
      <c r="O20" s="4">
        <v>2</v>
      </c>
      <c r="P20" s="4">
        <v>2</v>
      </c>
      <c r="Q20" s="4">
        <v>1</v>
      </c>
      <c r="R20" s="4">
        <v>1</v>
      </c>
      <c r="S20" s="4">
        <v>1</v>
      </c>
      <c r="T20" s="4">
        <v>2</v>
      </c>
      <c r="U20" s="4">
        <v>2</v>
      </c>
      <c r="V20" s="4">
        <v>2</v>
      </c>
      <c r="W20" s="4">
        <v>2</v>
      </c>
      <c r="X20" s="4">
        <v>3</v>
      </c>
      <c r="Y20" s="4">
        <v>3</v>
      </c>
      <c r="Z20" s="4">
        <v>3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4</v>
      </c>
      <c r="AH20" s="4">
        <v>3</v>
      </c>
      <c r="AI20" s="4">
        <v>3</v>
      </c>
      <c r="AJ20" s="4">
        <v>3</v>
      </c>
      <c r="AK20" s="6">
        <v>-3.94</v>
      </c>
      <c r="AL20" s="6">
        <v>-1.71</v>
      </c>
      <c r="AM20" s="6">
        <v>-4.44</v>
      </c>
      <c r="AN20" s="6" t="s">
        <v>34</v>
      </c>
      <c r="AO20" s="6" t="s">
        <v>34</v>
      </c>
      <c r="AP20" s="6">
        <v>-2.3</v>
      </c>
      <c r="AQ20" s="6">
        <v>-2.63</v>
      </c>
      <c r="AR20" s="6">
        <v>-1.59</v>
      </c>
      <c r="AS20" s="6">
        <v>-0.84</v>
      </c>
      <c r="AT20" s="6">
        <v>-2.26</v>
      </c>
      <c r="AU20" s="6">
        <v>-1.21</v>
      </c>
      <c r="AV20" s="6">
        <v>-0.75</v>
      </c>
      <c r="AW20" s="6">
        <v>-1.63</v>
      </c>
      <c r="AX20" s="6">
        <v>-1.04</v>
      </c>
      <c r="AY20" s="6">
        <v>-0.95</v>
      </c>
      <c r="AZ20" s="6">
        <v>-2.23</v>
      </c>
      <c r="BA20" s="6">
        <v>-3.08</v>
      </c>
      <c r="BB20" s="6">
        <v>-1.14</v>
      </c>
      <c r="BC20" s="6">
        <v>-0.5</v>
      </c>
      <c r="BD20" s="6">
        <v>-0.1</v>
      </c>
      <c r="BE20" s="6">
        <v>-0.42</v>
      </c>
      <c r="BF20" s="6">
        <v>-0.86</v>
      </c>
      <c r="BG20" s="6">
        <v>0.81</v>
      </c>
      <c r="BH20" s="6">
        <v>-0.17</v>
      </c>
      <c r="BI20" s="6">
        <v>-0.03</v>
      </c>
      <c r="BJ20" s="6">
        <v>-3.04</v>
      </c>
      <c r="BK20" s="6">
        <v>-2.36</v>
      </c>
      <c r="BL20" s="6">
        <v>-2.71</v>
      </c>
      <c r="BM20" s="6">
        <v>-2.61</v>
      </c>
      <c r="BN20" s="6">
        <v>-2.1</v>
      </c>
      <c r="BO20" s="6">
        <v>-1.63</v>
      </c>
      <c r="BP20" s="6">
        <v>1.64</v>
      </c>
      <c r="BQ20" s="6">
        <v>0.01</v>
      </c>
      <c r="BR20" s="6">
        <v>0.19</v>
      </c>
      <c r="BS20" s="6">
        <v>0.07</v>
      </c>
      <c r="BT20" s="6"/>
      <c r="BU20" s="6"/>
      <c r="BV20" s="325"/>
      <c r="BW20" s="325"/>
      <c r="BX20" s="325"/>
      <c r="BY20" s="325"/>
      <c r="BZ20" s="325"/>
    </row>
    <row r="21" spans="1:78" s="102" customFormat="1" ht="12.75">
      <c r="A21" s="4">
        <f>IF(Demography!A20="","",Demography!A20)</f>
        <v>1324</v>
      </c>
      <c r="B21" s="4">
        <v>2</v>
      </c>
      <c r="C21" s="4">
        <v>4</v>
      </c>
      <c r="D21" s="4">
        <v>2</v>
      </c>
      <c r="E21" s="4" t="s">
        <v>34</v>
      </c>
      <c r="F21" s="4" t="s">
        <v>34</v>
      </c>
      <c r="G21" s="4">
        <v>4</v>
      </c>
      <c r="H21" s="4">
        <v>3</v>
      </c>
      <c r="I21" s="4">
        <v>5</v>
      </c>
      <c r="J21" s="4">
        <v>3</v>
      </c>
      <c r="K21" s="4">
        <v>4</v>
      </c>
      <c r="L21" s="4">
        <v>3</v>
      </c>
      <c r="M21" s="4">
        <v>3</v>
      </c>
      <c r="N21" s="4">
        <v>2</v>
      </c>
      <c r="O21" s="4">
        <v>2</v>
      </c>
      <c r="P21" s="4">
        <v>2</v>
      </c>
      <c r="Q21" s="4">
        <v>2</v>
      </c>
      <c r="R21" s="4">
        <v>3</v>
      </c>
      <c r="S21" s="4">
        <v>5</v>
      </c>
      <c r="T21" s="4">
        <v>3</v>
      </c>
      <c r="U21" s="4">
        <v>3</v>
      </c>
      <c r="V21" s="4">
        <v>4</v>
      </c>
      <c r="W21" s="4">
        <v>3</v>
      </c>
      <c r="X21" s="4">
        <v>3</v>
      </c>
      <c r="Y21" s="4">
        <v>3</v>
      </c>
      <c r="Z21" s="4">
        <v>3</v>
      </c>
      <c r="AA21" s="4">
        <v>2</v>
      </c>
      <c r="AB21" s="4">
        <v>2</v>
      </c>
      <c r="AC21" s="4">
        <v>2</v>
      </c>
      <c r="AD21" s="4">
        <v>2</v>
      </c>
      <c r="AE21" s="4">
        <v>2</v>
      </c>
      <c r="AF21" s="4">
        <v>3</v>
      </c>
      <c r="AG21" s="4">
        <v>4</v>
      </c>
      <c r="AH21" s="4">
        <v>4</v>
      </c>
      <c r="AI21" s="4">
        <v>1</v>
      </c>
      <c r="AJ21" s="4">
        <v>3</v>
      </c>
      <c r="AK21" s="6">
        <v>-2.52</v>
      </c>
      <c r="AL21" s="6">
        <v>1.56</v>
      </c>
      <c r="AM21" s="6">
        <v>-3.02</v>
      </c>
      <c r="AN21" s="6" t="s">
        <v>34</v>
      </c>
      <c r="AO21" s="6" t="s">
        <v>34</v>
      </c>
      <c r="AP21" s="6">
        <v>0.97</v>
      </c>
      <c r="AQ21" s="6">
        <v>-0.28</v>
      </c>
      <c r="AR21" s="6">
        <v>3.06</v>
      </c>
      <c r="AS21" s="6">
        <v>1.51</v>
      </c>
      <c r="AT21" s="6">
        <v>1.01</v>
      </c>
      <c r="AU21" s="6">
        <v>-0.28</v>
      </c>
      <c r="AV21" s="6">
        <v>0.18</v>
      </c>
      <c r="AW21" s="6">
        <v>-1.63</v>
      </c>
      <c r="AX21" s="6">
        <v>-1.04</v>
      </c>
      <c r="AY21" s="6">
        <v>-0.95</v>
      </c>
      <c r="AZ21" s="6">
        <v>-0.81</v>
      </c>
      <c r="BA21" s="6">
        <v>-0.73</v>
      </c>
      <c r="BB21" s="6">
        <v>3.51</v>
      </c>
      <c r="BC21" s="6">
        <v>0.43</v>
      </c>
      <c r="BD21" s="6">
        <v>0.83</v>
      </c>
      <c r="BE21" s="6">
        <v>1.43</v>
      </c>
      <c r="BF21" s="6">
        <v>0.07</v>
      </c>
      <c r="BG21" s="6">
        <v>0.81</v>
      </c>
      <c r="BH21" s="6">
        <v>-0.17</v>
      </c>
      <c r="BI21" s="6">
        <v>-0.03</v>
      </c>
      <c r="BJ21" s="6">
        <v>-1.62</v>
      </c>
      <c r="BK21" s="6">
        <v>-0.94</v>
      </c>
      <c r="BL21" s="6">
        <v>-1.29</v>
      </c>
      <c r="BM21" s="6">
        <v>-1.19</v>
      </c>
      <c r="BN21" s="6">
        <v>-0.68</v>
      </c>
      <c r="BO21" s="6">
        <v>0.72</v>
      </c>
      <c r="BP21" s="6">
        <v>1.64</v>
      </c>
      <c r="BQ21" s="6">
        <v>0.93</v>
      </c>
      <c r="BR21" s="6">
        <v>-2.16</v>
      </c>
      <c r="BS21" s="6">
        <v>0.07</v>
      </c>
      <c r="BT21" s="6">
        <v>-0.018484848484848465</v>
      </c>
      <c r="BU21" s="6">
        <v>-0.0013018938499808528</v>
      </c>
      <c r="BV21" s="325"/>
      <c r="BW21" s="325"/>
      <c r="BX21" s="325"/>
      <c r="BY21" s="325"/>
      <c r="BZ21" s="325"/>
    </row>
    <row r="22" spans="1:78" s="102" customFormat="1" ht="12.75">
      <c r="A22" s="4">
        <f>IF(Demography!A21="","",Demography!A21)</f>
        <v>1565</v>
      </c>
      <c r="B22" s="4">
        <v>2</v>
      </c>
      <c r="C22" s="4">
        <v>2</v>
      </c>
      <c r="D22" s="4">
        <v>2</v>
      </c>
      <c r="E22" s="4" t="s">
        <v>34</v>
      </c>
      <c r="F22" s="4" t="s">
        <v>34</v>
      </c>
      <c r="G22" s="4">
        <v>2</v>
      </c>
      <c r="H22" s="4">
        <v>2</v>
      </c>
      <c r="I22" s="4">
        <v>2</v>
      </c>
      <c r="J22" s="4">
        <v>2</v>
      </c>
      <c r="K22" s="4" t="s">
        <v>34</v>
      </c>
      <c r="L22" s="4">
        <v>1</v>
      </c>
      <c r="M22" s="4">
        <v>1</v>
      </c>
      <c r="N22" s="4">
        <v>1</v>
      </c>
      <c r="O22" s="4">
        <v>2</v>
      </c>
      <c r="P22" s="4">
        <v>1</v>
      </c>
      <c r="Q22" s="4">
        <v>1</v>
      </c>
      <c r="R22" s="4">
        <v>1</v>
      </c>
      <c r="S22" s="4">
        <v>3</v>
      </c>
      <c r="T22" s="4">
        <v>2</v>
      </c>
      <c r="U22" s="4">
        <v>3</v>
      </c>
      <c r="V22" s="4">
        <v>1</v>
      </c>
      <c r="W22" s="4">
        <v>1</v>
      </c>
      <c r="X22" s="4">
        <v>2</v>
      </c>
      <c r="Y22" s="4">
        <v>2</v>
      </c>
      <c r="Z22" s="4">
        <v>2</v>
      </c>
      <c r="AA22" s="4">
        <v>1</v>
      </c>
      <c r="AB22" s="4">
        <v>1</v>
      </c>
      <c r="AC22" s="4">
        <v>1</v>
      </c>
      <c r="AD22" s="4">
        <v>1</v>
      </c>
      <c r="AE22" s="4">
        <v>2</v>
      </c>
      <c r="AF22" s="4">
        <v>2</v>
      </c>
      <c r="AG22" s="4">
        <v>2</v>
      </c>
      <c r="AH22" s="4">
        <v>1</v>
      </c>
      <c r="AI22" s="4">
        <v>2</v>
      </c>
      <c r="AJ22" s="4">
        <v>2</v>
      </c>
      <c r="AK22" s="6">
        <v>-2.52</v>
      </c>
      <c r="AL22" s="6">
        <v>-0.29</v>
      </c>
      <c r="AM22" s="6">
        <v>-3.02</v>
      </c>
      <c r="AN22" s="6" t="s">
        <v>34</v>
      </c>
      <c r="AO22" s="6" t="s">
        <v>34</v>
      </c>
      <c r="AP22" s="6">
        <v>-0.88</v>
      </c>
      <c r="AQ22" s="6">
        <v>-1.21</v>
      </c>
      <c r="AR22" s="6">
        <v>-0.17</v>
      </c>
      <c r="AS22" s="6">
        <v>0.58</v>
      </c>
      <c r="AT22" s="6" t="s">
        <v>34</v>
      </c>
      <c r="AU22" s="6">
        <v>-2.63</v>
      </c>
      <c r="AV22" s="6">
        <v>-2.17</v>
      </c>
      <c r="AW22" s="6">
        <v>-3.05</v>
      </c>
      <c r="AX22" s="6">
        <v>-1.04</v>
      </c>
      <c r="AY22" s="6">
        <v>-2.37</v>
      </c>
      <c r="AZ22" s="6">
        <v>-2.23</v>
      </c>
      <c r="BA22" s="6">
        <v>-3.08</v>
      </c>
      <c r="BB22" s="6">
        <v>1.21</v>
      </c>
      <c r="BC22" s="6">
        <v>-0.5</v>
      </c>
      <c r="BD22" s="6">
        <v>0.83</v>
      </c>
      <c r="BE22" s="6">
        <v>-1.84</v>
      </c>
      <c r="BF22" s="6">
        <v>-2.28</v>
      </c>
      <c r="BG22" s="6">
        <v>-0.12</v>
      </c>
      <c r="BH22" s="6">
        <v>-1.1</v>
      </c>
      <c r="BI22" s="6">
        <v>-0.96</v>
      </c>
      <c r="BJ22" s="6">
        <v>-3.04</v>
      </c>
      <c r="BK22" s="6">
        <v>-2.36</v>
      </c>
      <c r="BL22" s="6">
        <v>-2.71</v>
      </c>
      <c r="BM22" s="6">
        <v>-2.61</v>
      </c>
      <c r="BN22" s="6">
        <v>-0.68</v>
      </c>
      <c r="BO22" s="6">
        <v>-0.21</v>
      </c>
      <c r="BP22" s="6">
        <v>-0.21</v>
      </c>
      <c r="BQ22" s="6">
        <v>-2.34</v>
      </c>
      <c r="BR22" s="6">
        <v>-0.74</v>
      </c>
      <c r="BS22" s="6">
        <v>-0.86</v>
      </c>
      <c r="BT22" s="6">
        <v>-1.39375</v>
      </c>
      <c r="BU22" s="6">
        <v>-0.5926357719799784</v>
      </c>
      <c r="BV22" s="325"/>
      <c r="BW22" s="325"/>
      <c r="BX22" s="325"/>
      <c r="BY22" s="325"/>
      <c r="BZ22" s="325"/>
    </row>
    <row r="23" spans="1:78" s="102" customFormat="1" ht="12.75">
      <c r="A23" s="4">
        <f>IF(Demography!A22="","",Demography!A22)</f>
        <v>1579</v>
      </c>
      <c r="B23" s="4">
        <v>1</v>
      </c>
      <c r="C23" s="4">
        <v>2</v>
      </c>
      <c r="D23" s="4">
        <v>1</v>
      </c>
      <c r="E23" s="4">
        <v>1</v>
      </c>
      <c r="F23" s="4" t="s">
        <v>34</v>
      </c>
      <c r="G23" s="4">
        <v>2</v>
      </c>
      <c r="H23" s="4">
        <v>1</v>
      </c>
      <c r="I23" s="4">
        <v>3</v>
      </c>
      <c r="J23" s="4">
        <v>3</v>
      </c>
      <c r="K23" s="4" t="s">
        <v>34</v>
      </c>
      <c r="L23" s="4">
        <v>2</v>
      </c>
      <c r="M23" s="4">
        <v>2</v>
      </c>
      <c r="N23" s="4">
        <v>1</v>
      </c>
      <c r="O23" s="4">
        <v>1</v>
      </c>
      <c r="P23" s="4">
        <v>2</v>
      </c>
      <c r="Q23" s="4">
        <v>2</v>
      </c>
      <c r="R23" s="4">
        <v>2</v>
      </c>
      <c r="S23" s="4">
        <v>2</v>
      </c>
      <c r="T23" s="4">
        <v>2</v>
      </c>
      <c r="U23" s="4">
        <v>1</v>
      </c>
      <c r="V23" s="4">
        <v>1</v>
      </c>
      <c r="W23" s="4">
        <v>2</v>
      </c>
      <c r="X23" s="4">
        <v>2</v>
      </c>
      <c r="Y23" s="4">
        <v>2</v>
      </c>
      <c r="Z23" s="4">
        <v>2</v>
      </c>
      <c r="AA23" s="4">
        <v>2</v>
      </c>
      <c r="AB23" s="4">
        <v>1</v>
      </c>
      <c r="AC23" s="4">
        <v>1</v>
      </c>
      <c r="AD23" s="4">
        <v>1</v>
      </c>
      <c r="AE23" s="4">
        <v>1</v>
      </c>
      <c r="AF23" s="4">
        <v>2</v>
      </c>
      <c r="AG23" s="4">
        <v>2</v>
      </c>
      <c r="AH23" s="4">
        <v>2</v>
      </c>
      <c r="AI23" s="4">
        <v>2</v>
      </c>
      <c r="AJ23" s="4">
        <v>3</v>
      </c>
      <c r="AK23" s="6">
        <v>-3.94</v>
      </c>
      <c r="AL23" s="6">
        <v>-0.29</v>
      </c>
      <c r="AM23" s="6">
        <v>-4.44</v>
      </c>
      <c r="AN23" s="6">
        <v>-3.35</v>
      </c>
      <c r="AO23" s="6" t="s">
        <v>34</v>
      </c>
      <c r="AP23" s="6">
        <v>-0.88</v>
      </c>
      <c r="AQ23" s="6">
        <v>-2.63</v>
      </c>
      <c r="AR23" s="6">
        <v>0.76</v>
      </c>
      <c r="AS23" s="6">
        <v>1.51</v>
      </c>
      <c r="AT23" s="6" t="s">
        <v>34</v>
      </c>
      <c r="AU23" s="6">
        <v>-1.21</v>
      </c>
      <c r="AV23" s="6">
        <v>-0.75</v>
      </c>
      <c r="AW23" s="6">
        <v>-3.05</v>
      </c>
      <c r="AX23" s="6">
        <v>-2.46</v>
      </c>
      <c r="AY23" s="6">
        <v>-0.95</v>
      </c>
      <c r="AZ23" s="6">
        <v>-0.81</v>
      </c>
      <c r="BA23" s="6">
        <v>-1.66</v>
      </c>
      <c r="BB23" s="6">
        <v>0.28</v>
      </c>
      <c r="BC23" s="6">
        <v>-0.5</v>
      </c>
      <c r="BD23" s="6">
        <v>-1.52</v>
      </c>
      <c r="BE23" s="6">
        <v>-1.84</v>
      </c>
      <c r="BF23" s="6">
        <v>-0.86</v>
      </c>
      <c r="BG23" s="6">
        <v>-0.12</v>
      </c>
      <c r="BH23" s="6">
        <v>-1.1</v>
      </c>
      <c r="BI23" s="6">
        <v>-0.96</v>
      </c>
      <c r="BJ23" s="6">
        <v>-1.62</v>
      </c>
      <c r="BK23" s="6">
        <v>-2.36</v>
      </c>
      <c r="BL23" s="6">
        <v>-2.71</v>
      </c>
      <c r="BM23" s="6">
        <v>-2.61</v>
      </c>
      <c r="BN23" s="6">
        <v>-2.1</v>
      </c>
      <c r="BO23" s="6">
        <v>-0.21</v>
      </c>
      <c r="BP23" s="6">
        <v>-0.21</v>
      </c>
      <c r="BQ23" s="6">
        <v>-0.92</v>
      </c>
      <c r="BR23" s="6">
        <v>-0.74</v>
      </c>
      <c r="BS23" s="6">
        <v>0.07</v>
      </c>
      <c r="BT23" s="6">
        <v>-1.338787878787879</v>
      </c>
      <c r="BU23" s="6">
        <v>-0.5616225177458382</v>
      </c>
      <c r="BV23" s="325"/>
      <c r="BW23" s="325"/>
      <c r="BX23" s="325"/>
      <c r="BY23" s="325"/>
      <c r="BZ23" s="325"/>
    </row>
    <row r="24" spans="1:78" s="102" customFormat="1" ht="12.75">
      <c r="A24" s="4">
        <f>IF(Demography!A23="","",Demography!A23)</f>
        <v>1580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325"/>
      <c r="BW24" s="325"/>
      <c r="BX24" s="325"/>
      <c r="BY24" s="325"/>
      <c r="BZ24" s="325"/>
    </row>
    <row r="25" spans="1:78" s="102" customFormat="1" ht="12.75">
      <c r="A25" s="315">
        <f>IF(Demography!A24="","",Demography!A24)</f>
        <v>1595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325"/>
      <c r="BW25" s="325"/>
      <c r="BX25" s="325"/>
      <c r="BY25" s="325"/>
      <c r="BZ25" s="325"/>
    </row>
    <row r="26" spans="1:73" s="102" customFormat="1" ht="12.75">
      <c r="A26" s="4">
        <f>IF(Demography!A25="","",Demography!A25)</f>
        <v>1598</v>
      </c>
      <c r="B26" s="1">
        <v>1</v>
      </c>
      <c r="C26" s="1">
        <v>4</v>
      </c>
      <c r="D26" s="1">
        <v>1</v>
      </c>
      <c r="E26" s="1">
        <v>1</v>
      </c>
      <c r="F26" s="1" t="s">
        <v>34</v>
      </c>
      <c r="G26" s="1">
        <v>2</v>
      </c>
      <c r="H26" s="1">
        <v>2</v>
      </c>
      <c r="I26" s="1">
        <v>4</v>
      </c>
      <c r="J26" s="1">
        <v>2</v>
      </c>
      <c r="K26" s="1">
        <v>3</v>
      </c>
      <c r="L26" s="1">
        <v>2</v>
      </c>
      <c r="M26" s="1">
        <v>2</v>
      </c>
      <c r="N26" s="1">
        <v>1</v>
      </c>
      <c r="O26" s="1">
        <v>1</v>
      </c>
      <c r="P26" s="1">
        <v>2</v>
      </c>
      <c r="Q26" s="1">
        <v>2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  <c r="X26" s="1">
        <v>2</v>
      </c>
      <c r="Y26" s="1">
        <v>2</v>
      </c>
      <c r="Z26" s="1">
        <v>3</v>
      </c>
      <c r="AA26" s="1">
        <v>2</v>
      </c>
      <c r="AB26" s="1">
        <v>2</v>
      </c>
      <c r="AC26" s="1">
        <v>2</v>
      </c>
      <c r="AD26" s="1">
        <v>2</v>
      </c>
      <c r="AE26" s="1">
        <v>1</v>
      </c>
      <c r="AF26" s="1">
        <v>1</v>
      </c>
      <c r="AG26" s="1">
        <v>2</v>
      </c>
      <c r="AH26" s="1">
        <v>2</v>
      </c>
      <c r="AI26" s="1">
        <v>2</v>
      </c>
      <c r="AJ26" s="1">
        <v>2</v>
      </c>
      <c r="AK26" s="16">
        <v>-3.94</v>
      </c>
      <c r="AL26" s="16">
        <v>1.56</v>
      </c>
      <c r="AM26" s="16">
        <v>-4.44</v>
      </c>
      <c r="AN26" s="16">
        <v>-3.35</v>
      </c>
      <c r="AO26" s="16" t="s">
        <v>34</v>
      </c>
      <c r="AP26" s="16">
        <v>-0.88</v>
      </c>
      <c r="AQ26" s="16">
        <v>-1.21</v>
      </c>
      <c r="AR26" s="16">
        <v>1.68</v>
      </c>
      <c r="AS26" s="16">
        <v>0.58</v>
      </c>
      <c r="AT26" s="16">
        <v>0.09</v>
      </c>
      <c r="AU26" s="16">
        <v>-1.21</v>
      </c>
      <c r="AV26" s="16">
        <v>-0.75</v>
      </c>
      <c r="AW26" s="16">
        <v>-3.05</v>
      </c>
      <c r="AX26" s="16">
        <v>-2.46</v>
      </c>
      <c r="AY26" s="16">
        <v>-0.95</v>
      </c>
      <c r="AZ26" s="16">
        <v>-0.81</v>
      </c>
      <c r="BA26" s="16">
        <v>-1.66</v>
      </c>
      <c r="BB26" s="16">
        <v>0.28</v>
      </c>
      <c r="BC26" s="16">
        <v>-0.5</v>
      </c>
      <c r="BD26" s="16">
        <v>-0.1</v>
      </c>
      <c r="BE26" s="16">
        <v>-0.42</v>
      </c>
      <c r="BF26" s="16">
        <v>-0.86</v>
      </c>
      <c r="BG26" s="16">
        <v>-0.12</v>
      </c>
      <c r="BH26" s="16">
        <v>-1.1</v>
      </c>
      <c r="BI26" s="16">
        <v>-0.03</v>
      </c>
      <c r="BJ26" s="16">
        <v>-1.62</v>
      </c>
      <c r="BK26" s="16">
        <v>-0.94</v>
      </c>
      <c r="BL26" s="16">
        <v>-1.29</v>
      </c>
      <c r="BM26" s="16">
        <v>-1.19</v>
      </c>
      <c r="BN26" s="16">
        <v>-2.1</v>
      </c>
      <c r="BO26" s="16">
        <v>-1.63</v>
      </c>
      <c r="BP26" s="16">
        <v>-0.21</v>
      </c>
      <c r="BQ26" s="16">
        <v>-0.92</v>
      </c>
      <c r="BR26" s="16">
        <v>-0.74</v>
      </c>
      <c r="BS26" s="16">
        <v>-0.86</v>
      </c>
      <c r="BT26" s="16">
        <v>-1.033823529411765</v>
      </c>
      <c r="BU26" s="16">
        <v>-0.4082414933099003</v>
      </c>
    </row>
    <row r="27" spans="1:73" s="102" customFormat="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102" customFormat="1" ht="12.75">
      <c r="A28" s="370" t="s">
        <v>329</v>
      </c>
      <c r="B28"/>
      <c r="C28"/>
      <c r="D28"/>
      <c r="E28"/>
      <c r="F28"/>
      <c r="G28"/>
      <c r="H28"/>
      <c r="I28"/>
      <c r="J28"/>
      <c r="K28"/>
      <c r="L2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2" ht="12.75">
      <c r="A29" s="370"/>
      <c r="B29" s="3"/>
    </row>
    <row r="30" spans="1:2" ht="12.75">
      <c r="A30" s="370"/>
      <c r="B30" s="3"/>
    </row>
    <row r="31" ht="12.75">
      <c r="A31" s="370"/>
    </row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mergeCells count="20">
    <mergeCell ref="A1:A2"/>
    <mergeCell ref="B1:AJ1"/>
    <mergeCell ref="X2:Y2"/>
    <mergeCell ref="I2:S2"/>
    <mergeCell ref="Z2:AF2"/>
    <mergeCell ref="AG2:AJ2"/>
    <mergeCell ref="AM2:AQ2"/>
    <mergeCell ref="AR2:BB2"/>
    <mergeCell ref="T2:U2"/>
    <mergeCell ref="V2:W2"/>
    <mergeCell ref="A28:A31"/>
    <mergeCell ref="BT1:BU2"/>
    <mergeCell ref="B2:C2"/>
    <mergeCell ref="D2:H2"/>
    <mergeCell ref="BC2:BD2"/>
    <mergeCell ref="BE2:BF2"/>
    <mergeCell ref="BG2:BH2"/>
    <mergeCell ref="BI2:BO2"/>
    <mergeCell ref="BP2:BS2"/>
    <mergeCell ref="AK2:AL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2"/>
  <sheetViews>
    <sheetView zoomScale="75" zoomScaleNormal="75" workbookViewId="0" topLeftCell="A5">
      <pane xSplit="1" topLeftCell="B1" activePane="topRight" state="frozen"/>
      <selection pane="topLeft" activeCell="A1" sqref="A1"/>
      <selection pane="topRight" activeCell="D42" sqref="D42"/>
    </sheetView>
  </sheetViews>
  <sheetFormatPr defaultColWidth="9.140625" defaultRowHeight="12"/>
  <cols>
    <col min="1" max="1" width="22.28125" style="108" customWidth="1"/>
    <col min="2" max="2" width="18.7109375" style="108" customWidth="1"/>
    <col min="3" max="3" width="18.28125" style="108" customWidth="1"/>
    <col min="4" max="4" width="17.8515625" style="108" customWidth="1"/>
    <col min="5" max="5" width="19.7109375" style="108" customWidth="1"/>
    <col min="6" max="7" width="18.8515625" style="151" customWidth="1"/>
    <col min="8" max="8" width="34.7109375" style="108" customWidth="1"/>
    <col min="9" max="9" width="17.140625" style="108" customWidth="1"/>
    <col min="10" max="10" width="16.28125" style="108" customWidth="1"/>
    <col min="11" max="12" width="15.140625" style="108" customWidth="1"/>
    <col min="13" max="13" width="15.140625" style="151" customWidth="1"/>
    <col min="14" max="14" width="15.140625" style="108" customWidth="1"/>
    <col min="15" max="15" width="23.140625" style="108" customWidth="1"/>
    <col min="16" max="16" width="17.7109375" style="151" customWidth="1"/>
    <col min="17" max="17" width="18.8515625" style="151" customWidth="1"/>
    <col min="18" max="18" width="17.00390625" style="151" customWidth="1"/>
    <col min="19" max="19" width="18.140625" style="151" customWidth="1"/>
    <col min="20" max="20" width="21.421875" style="108" customWidth="1"/>
    <col min="21" max="21" width="16.8515625" style="108" customWidth="1"/>
    <col min="22" max="22" width="16.28125" style="108" customWidth="1"/>
    <col min="23" max="23" width="15.421875" style="108" customWidth="1"/>
    <col min="24" max="16384" width="12.00390625" style="108" customWidth="1"/>
  </cols>
  <sheetData>
    <row r="1" spans="1:23" s="131" customFormat="1" ht="46.5" customHeight="1" thickBot="1">
      <c r="A1" s="362" t="s">
        <v>118</v>
      </c>
      <c r="B1" s="501" t="s">
        <v>45</v>
      </c>
      <c r="C1" s="501"/>
      <c r="D1" s="501"/>
      <c r="E1" s="501"/>
      <c r="F1" s="501"/>
      <c r="G1" s="501"/>
      <c r="H1" s="502"/>
      <c r="I1" s="501"/>
      <c r="J1" s="501"/>
      <c r="K1" s="382"/>
      <c r="L1" s="507" t="s">
        <v>46</v>
      </c>
      <c r="M1" s="507"/>
      <c r="N1" s="507"/>
      <c r="O1" s="507"/>
      <c r="P1" s="507"/>
      <c r="Q1" s="507"/>
      <c r="R1" s="507"/>
      <c r="S1" s="507"/>
      <c r="T1" s="508"/>
      <c r="U1" s="507"/>
      <c r="V1" s="507"/>
      <c r="W1" s="507"/>
    </row>
    <row r="2" spans="1:23" s="201" customFormat="1" ht="61.5" customHeight="1">
      <c r="A2" s="362"/>
      <c r="B2" s="503" t="s">
        <v>330</v>
      </c>
      <c r="C2" s="503" t="s">
        <v>331</v>
      </c>
      <c r="D2" s="504" t="s">
        <v>49</v>
      </c>
      <c r="E2" s="503" t="s">
        <v>47</v>
      </c>
      <c r="F2" s="504" t="s">
        <v>257</v>
      </c>
      <c r="G2" s="504" t="s">
        <v>48</v>
      </c>
      <c r="H2" s="505" t="s">
        <v>29</v>
      </c>
      <c r="I2" s="509" t="s">
        <v>30</v>
      </c>
      <c r="J2" s="509" t="s">
        <v>31</v>
      </c>
      <c r="K2" s="512" t="s">
        <v>21</v>
      </c>
      <c r="L2" s="503" t="s">
        <v>330</v>
      </c>
      <c r="M2" s="504" t="s">
        <v>331</v>
      </c>
      <c r="N2" s="503" t="s">
        <v>336</v>
      </c>
      <c r="O2" s="503" t="s">
        <v>47</v>
      </c>
      <c r="P2" s="504" t="s">
        <v>257</v>
      </c>
      <c r="Q2" s="504" t="s">
        <v>258</v>
      </c>
      <c r="R2" s="504" t="s">
        <v>48</v>
      </c>
      <c r="S2" s="504" t="s">
        <v>49</v>
      </c>
      <c r="T2" s="505" t="s">
        <v>29</v>
      </c>
      <c r="U2" s="509" t="s">
        <v>30</v>
      </c>
      <c r="V2" s="509" t="s">
        <v>31</v>
      </c>
      <c r="W2" s="509" t="s">
        <v>21</v>
      </c>
    </row>
    <row r="3" spans="1:23" s="201" customFormat="1" ht="24.75" customHeight="1" thickBot="1">
      <c r="A3" s="190" t="s">
        <v>55</v>
      </c>
      <c r="B3" s="503"/>
      <c r="C3" s="503"/>
      <c r="D3" s="504"/>
      <c r="E3" s="503"/>
      <c r="F3" s="504"/>
      <c r="G3" s="504"/>
      <c r="H3" s="506"/>
      <c r="I3" s="509"/>
      <c r="J3" s="509"/>
      <c r="K3" s="512"/>
      <c r="L3" s="503"/>
      <c r="M3" s="504"/>
      <c r="N3" s="503"/>
      <c r="O3" s="503"/>
      <c r="P3" s="504"/>
      <c r="Q3" s="504"/>
      <c r="R3" s="504"/>
      <c r="S3" s="504"/>
      <c r="T3" s="506"/>
      <c r="U3" s="509"/>
      <c r="V3" s="509"/>
      <c r="W3" s="509"/>
    </row>
    <row r="4" spans="1:23" s="131" customFormat="1" ht="12.75">
      <c r="A4" s="105">
        <f>IF(Demography!A3="","",Demography!A3)</f>
        <v>970</v>
      </c>
      <c r="B4" s="333">
        <v>36087</v>
      </c>
      <c r="C4" s="149">
        <f>IF($B4="","",($B4-'Visit 5'!$B4)/7)</f>
        <v>16.428571428571427</v>
      </c>
      <c r="D4" s="149">
        <f>IF($B4="","",($B4-'Visit 2'!$B4)/7)</f>
        <v>24.571428571428573</v>
      </c>
      <c r="E4" s="105"/>
      <c r="F4" s="148">
        <f>IF($H4="no",$E4-'Visit 5'!$B4,IF($H4="yes",C4*7,""))</f>
        <v>114.99999999999999</v>
      </c>
      <c r="G4" s="148">
        <f>IF(H4="no",E4-'Visit 2'!B4,IF(H4="yes",D4*7,))</f>
        <v>172</v>
      </c>
      <c r="H4" s="205" t="s">
        <v>57</v>
      </c>
      <c r="I4" s="105" t="s">
        <v>57</v>
      </c>
      <c r="J4" s="105" t="s">
        <v>51</v>
      </c>
      <c r="K4" s="105" t="s">
        <v>51</v>
      </c>
      <c r="L4" s="334">
        <v>37247</v>
      </c>
      <c r="M4" s="191">
        <f>IF($L4="","",($L4-'Visit 5'!$B4)/7)</f>
        <v>182.14285714285714</v>
      </c>
      <c r="N4" s="192">
        <f>IF(L4="","",(L4-'Visit 2'!B4)/7)</f>
        <v>190.28571428571428</v>
      </c>
      <c r="O4" s="193">
        <v>37236</v>
      </c>
      <c r="P4" s="191">
        <f>IF(L4="","",IF(T4="no",O4-'Visit 5'!B4,L4-'Visit 5'!B4))</f>
        <v>1264</v>
      </c>
      <c r="Q4" s="191">
        <f aca="true" t="shared" si="0" ref="Q4:Q26">IF(P4="","",P4/7)</f>
        <v>180.57142857142858</v>
      </c>
      <c r="R4" s="191">
        <f>IF(L4="","",IF(T4="no",O4-'Visit 2'!B4,L4-'Visit 2'!B4))</f>
        <v>1321</v>
      </c>
      <c r="S4" s="191">
        <f aca="true" t="shared" si="1" ref="S4:S26">IF(R4="","",R4/7)</f>
        <v>188.71428571428572</v>
      </c>
      <c r="T4" s="205" t="s">
        <v>51</v>
      </c>
      <c r="U4" s="194" t="s">
        <v>51</v>
      </c>
      <c r="V4" s="194" t="s">
        <v>51</v>
      </c>
      <c r="W4" s="195" t="s">
        <v>51</v>
      </c>
    </row>
    <row r="5" spans="1:23" s="131" customFormat="1" ht="12.75">
      <c r="A5" s="105">
        <f>IF(Demography!A4="","",Demography!A4)</f>
        <v>979</v>
      </c>
      <c r="B5" s="333"/>
      <c r="C5" s="149">
        <f>IF($B5="","",($B5-'Visit 5'!$B5)/7)</f>
      </c>
      <c r="D5" s="149"/>
      <c r="E5" s="105"/>
      <c r="F5" s="148"/>
      <c r="G5" s="148"/>
      <c r="H5" s="206" t="str">
        <f>IF('Visit 5'!S5="No","did not continue to wear",IF('Visit 5'!B5="","did not finish/ has not finished"))</f>
        <v>did not continue to wear</v>
      </c>
      <c r="I5" s="105"/>
      <c r="J5" s="105"/>
      <c r="K5" s="105"/>
      <c r="L5" s="334"/>
      <c r="M5" s="191">
        <f>IF($L5="","",($L5-'Visit 5'!$B5)/7)</f>
      </c>
      <c r="N5" s="192">
        <f>IF(L5="","",(L5-'Visit 2'!B5)/7)</f>
      </c>
      <c r="O5" s="192"/>
      <c r="P5" s="191">
        <f>IF(L5="","",IF(T5="no",O5-'Visit 5'!B5,L5-'Visit 5'!B5))</f>
      </c>
      <c r="Q5" s="191">
        <f t="shared" si="0"/>
      </c>
      <c r="R5" s="191">
        <f>IF(L5="","",IF(T5="no",O5-'Visit 2'!B5,L5-'Visit 2'!B5))</f>
      </c>
      <c r="S5" s="191">
        <f t="shared" si="1"/>
      </c>
      <c r="T5" s="206">
        <f aca="true" t="shared" si="2" ref="T5:T10">IF(H5="no","did not continue to wear","")</f>
      </c>
      <c r="U5" s="194"/>
      <c r="V5" s="194"/>
      <c r="W5" s="195"/>
    </row>
    <row r="6" spans="1:23" s="131" customFormat="1" ht="12.75">
      <c r="A6" s="105">
        <f>IF(Demography!A5="","",Demography!A5)</f>
        <v>1035</v>
      </c>
      <c r="B6" s="333">
        <v>36142</v>
      </c>
      <c r="C6" s="149">
        <f>IF($B6="","",($B6-'Visit 5'!$B6)/7)</f>
        <v>13.285714285714286</v>
      </c>
      <c r="D6" s="149">
        <f>IF($B6="","",($B6-'Visit 2'!$B6)/7)</f>
        <v>25.571428571428573</v>
      </c>
      <c r="E6" s="150">
        <v>36129</v>
      </c>
      <c r="F6" s="148">
        <f>IF($H6="no",$E6-'Visit 5'!$B6,IF($H6="yes",C6*7,""))</f>
        <v>93</v>
      </c>
      <c r="G6" s="148">
        <f>IF(H6="no",E6-'Visit 2'!B6,IF(H6="yes",D6*7,))</f>
        <v>179</v>
      </c>
      <c r="H6" s="206" t="s">
        <v>57</v>
      </c>
      <c r="I6" s="105" t="s">
        <v>51</v>
      </c>
      <c r="J6" s="105" t="s">
        <v>57</v>
      </c>
      <c r="K6" s="105" t="s">
        <v>51</v>
      </c>
      <c r="L6" s="334">
        <v>37499</v>
      </c>
      <c r="M6" s="191">
        <f>IF($L6="","",($L6-'Visit 5'!$B6)/7)</f>
        <v>207.14285714285714</v>
      </c>
      <c r="N6" s="192">
        <f>IF(L6="","",(L6-'Visit 2'!B6)/7)</f>
        <v>219.42857142857142</v>
      </c>
      <c r="O6" s="192"/>
      <c r="P6" s="191">
        <f>IF(L6="","",IF(T6="no",O6-'Visit 5'!B6,L6-'Visit 5'!B6))</f>
        <v>1450</v>
      </c>
      <c r="Q6" s="191">
        <f t="shared" si="0"/>
        <v>207.14285714285714</v>
      </c>
      <c r="R6" s="191">
        <f>IF(L6="","",IF(T6="no",O6-'Visit 2'!B6,L6-'Visit 2'!B6))</f>
        <v>1536</v>
      </c>
      <c r="S6" s="191">
        <f t="shared" si="1"/>
        <v>219.42857142857142</v>
      </c>
      <c r="T6" s="206" t="s">
        <v>57</v>
      </c>
      <c r="U6" s="194" t="s">
        <v>57</v>
      </c>
      <c r="V6" s="194" t="s">
        <v>57</v>
      </c>
      <c r="W6" s="195" t="s">
        <v>51</v>
      </c>
    </row>
    <row r="7" spans="1:23" s="131" customFormat="1" ht="12.75">
      <c r="A7" s="105">
        <f>IF(Demography!A6="","",Demography!A6)</f>
        <v>1018</v>
      </c>
      <c r="B7" s="333"/>
      <c r="C7" s="149">
        <f>IF($B7="","",($B7-'Visit 5'!$B7)/7)</f>
      </c>
      <c r="D7" s="149"/>
      <c r="E7" s="105"/>
      <c r="F7" s="148">
        <f>IF(H7="no",E7-'Visit 5'!B7,"")</f>
      </c>
      <c r="G7" s="148"/>
      <c r="H7" s="206" t="str">
        <f>IF('Visit 5'!S7="No","did not continue to wear",IF('Visit 5'!B7="","did not finish/ has not finished"))</f>
        <v>did not continue to wear</v>
      </c>
      <c r="I7" s="105"/>
      <c r="J7" s="105"/>
      <c r="K7" s="105"/>
      <c r="L7" s="334"/>
      <c r="M7" s="191">
        <f>IF($L7="","",($L7-'Visit 5'!$B7)/7)</f>
      </c>
      <c r="N7" s="192">
        <f>IF(L7="","",(L7-'Visit 2'!B7)/7)</f>
      </c>
      <c r="O7" s="192"/>
      <c r="P7" s="191">
        <f>IF(T7="no",O7-'Visit 5'!B7,"")</f>
      </c>
      <c r="Q7" s="191">
        <f t="shared" si="0"/>
      </c>
      <c r="R7" s="191">
        <f>IF(T7="no",O7-'Visit 2'!B7,"")</f>
      </c>
      <c r="S7" s="191">
        <f t="shared" si="1"/>
      </c>
      <c r="T7" s="206">
        <f t="shared" si="2"/>
      </c>
      <c r="U7" s="194"/>
      <c r="V7" s="194"/>
      <c r="W7" s="195"/>
    </row>
    <row r="8" spans="1:23" s="131" customFormat="1" ht="12.75">
      <c r="A8" s="316">
        <f>IF(Demography!A7="","",Demography!A7)</f>
        <v>1106</v>
      </c>
      <c r="B8" s="333"/>
      <c r="C8" s="149">
        <f>IF($B8="","",($B8-'Visit 5'!$B8)/7)</f>
      </c>
      <c r="D8" s="149"/>
      <c r="E8" s="105"/>
      <c r="F8" s="148">
        <f>IF(H8="no",E8-'Visit 5'!B8,"")</f>
      </c>
      <c r="G8" s="148"/>
      <c r="H8" s="206" t="str">
        <f>IF('Visit 5'!S8="No","did not continue to wear",IF('Visit 5'!B8="","did not finish/ has not finished"))</f>
        <v>did not finish/ has not finished</v>
      </c>
      <c r="I8" s="105"/>
      <c r="J8" s="105"/>
      <c r="K8" s="105"/>
      <c r="L8" s="334"/>
      <c r="M8" s="191">
        <f>IF($L8="","",($L8-'Visit 5'!$B8)/7)</f>
      </c>
      <c r="N8" s="192">
        <f>IF(L8="","",(L8-'Visit 2'!B8)/7)</f>
      </c>
      <c r="O8" s="192"/>
      <c r="P8" s="191">
        <f>IF(T8="no",O8-'Visit 5'!B8,"")</f>
      </c>
      <c r="Q8" s="191">
        <f t="shared" si="0"/>
      </c>
      <c r="R8" s="191">
        <f>IF(T8="no",O8-'Visit 2'!B8,"")</f>
      </c>
      <c r="S8" s="191">
        <f t="shared" si="1"/>
      </c>
      <c r="T8" s="206">
        <f t="shared" si="2"/>
      </c>
      <c r="U8" s="194"/>
      <c r="V8" s="194"/>
      <c r="W8" s="195"/>
    </row>
    <row r="9" spans="1:27" s="131" customFormat="1" ht="12.75">
      <c r="A9" s="105">
        <f>IF(Demography!A8="","",Demography!A8)</f>
        <v>1109</v>
      </c>
      <c r="B9" s="333"/>
      <c r="C9" s="149">
        <f>IF($B9="","",($B9-'Visit 5'!$B9)/7)</f>
      </c>
      <c r="D9" s="149"/>
      <c r="E9" s="105"/>
      <c r="F9" s="148">
        <f>IF(H9="no",E9-'Visit 5'!B9,"")</f>
      </c>
      <c r="G9" s="148"/>
      <c r="H9" s="206" t="str">
        <f>IF('Visit 5'!S9="No","did not continue to wear",IF('Visit 5'!B9="","did not finish/ has not finished"))</f>
        <v>did not continue to wear</v>
      </c>
      <c r="I9" s="109"/>
      <c r="J9" s="109"/>
      <c r="K9" s="109"/>
      <c r="L9" s="335"/>
      <c r="M9" s="191">
        <f>IF($L9="","",($L9-'Visit 5'!$B9)/7)</f>
      </c>
      <c r="N9" s="192">
        <f>IF(L9="","",(L9-'Visit 2'!B9)/7)</f>
      </c>
      <c r="O9" s="192"/>
      <c r="P9" s="191">
        <f>IF(T9="no",O9-'Visit 5'!B9,"")</f>
      </c>
      <c r="Q9" s="191">
        <f t="shared" si="0"/>
      </c>
      <c r="R9" s="191">
        <f>IF(T9="no",O9-'Visit 2'!B9,"")</f>
      </c>
      <c r="S9" s="191">
        <f t="shared" si="1"/>
      </c>
      <c r="T9" s="206">
        <f t="shared" si="2"/>
      </c>
      <c r="U9" s="194"/>
      <c r="V9" s="194"/>
      <c r="W9" s="195"/>
      <c r="X9" s="317"/>
      <c r="Y9" s="317"/>
      <c r="Z9" s="317"/>
      <c r="AA9" s="317"/>
    </row>
    <row r="10" spans="1:27" s="131" customFormat="1" ht="12.75">
      <c r="A10" s="316">
        <f>IF(Demography!A9="","",Demography!A9)</f>
        <v>1054</v>
      </c>
      <c r="B10" s="333"/>
      <c r="C10" s="149">
        <f>IF($B10="","",($B10-'Visit 5'!$B10)/7)</f>
      </c>
      <c r="D10" s="149"/>
      <c r="E10" s="105"/>
      <c r="F10" s="148"/>
      <c r="G10" s="148"/>
      <c r="H10" s="206" t="str">
        <f>IF('Visit 5'!S10="No","did not continue to wear",IF('Visit 5'!B10="","did not finish/ has not finished"))</f>
        <v>did not finish/ has not finished</v>
      </c>
      <c r="I10" s="105"/>
      <c r="J10" s="105"/>
      <c r="K10" s="105"/>
      <c r="L10" s="334"/>
      <c r="M10" s="191">
        <f>IF($L10="","",($L10-'Visit 5'!$B10)/7)</f>
      </c>
      <c r="N10" s="192">
        <f>IF(L10="","",(L10-'Visit 2'!B10)/7)</f>
      </c>
      <c r="O10" s="192"/>
      <c r="P10" s="191">
        <f>IF(T10="no",O10-'Visit 5'!B10,"")</f>
      </c>
      <c r="Q10" s="191">
        <f t="shared" si="0"/>
      </c>
      <c r="R10" s="191">
        <f>IF(T10="no",O10-'Visit 2'!B10,"")</f>
      </c>
      <c r="S10" s="191">
        <f t="shared" si="1"/>
      </c>
      <c r="T10" s="206">
        <f t="shared" si="2"/>
      </c>
      <c r="U10" s="194"/>
      <c r="V10" s="194"/>
      <c r="W10" s="195"/>
      <c r="X10" s="317"/>
      <c r="Y10" s="317"/>
      <c r="Z10" s="317"/>
      <c r="AA10" s="317"/>
    </row>
    <row r="11" spans="1:23" s="131" customFormat="1" ht="12.75">
      <c r="A11" s="105">
        <f>IF(Demography!A10="","",Demography!A10)</f>
        <v>1141</v>
      </c>
      <c r="B11" s="333">
        <v>36444</v>
      </c>
      <c r="C11" s="149">
        <f>IF($B11="","missing data",($B11-'Visit 5'!$B11)/7)</f>
        <v>20.428571428571427</v>
      </c>
      <c r="D11" s="149">
        <f>IF($B11="","missing data",($B11-'Visit 2'!$B11)/7)</f>
        <v>30.714285714285715</v>
      </c>
      <c r="E11" s="105"/>
      <c r="F11" s="148">
        <f>IF($H11="no",$E11-'Visit 5'!$B11,IF($H11="yes",C11*7,""))</f>
        <v>143</v>
      </c>
      <c r="G11" s="148">
        <f>IF(H11="no",E11-'Visit 2'!B11,IF(H11="yes",D11*7,))</f>
        <v>215</v>
      </c>
      <c r="H11" s="206" t="s">
        <v>57</v>
      </c>
      <c r="I11" s="105" t="s">
        <v>57</v>
      </c>
      <c r="J11" s="105" t="s">
        <v>57</v>
      </c>
      <c r="K11" s="105" t="s">
        <v>51</v>
      </c>
      <c r="L11" s="334">
        <v>37320</v>
      </c>
      <c r="M11" s="191">
        <f>IF($L11="","",($L11-'Visit 5'!$B11)/7)</f>
        <v>145.57142857142858</v>
      </c>
      <c r="N11" s="192">
        <f>IF(L11="","",(L11-'Visit 2'!B11)/7)</f>
        <v>155.85714285714286</v>
      </c>
      <c r="O11" s="193">
        <v>36830</v>
      </c>
      <c r="P11" s="191">
        <f>IF(L11="","",IF(T11="no",O11-'Visit 5'!B11,L11-'Visit 5'!B11))</f>
        <v>529</v>
      </c>
      <c r="Q11" s="191">
        <f t="shared" si="0"/>
        <v>75.57142857142857</v>
      </c>
      <c r="R11" s="191">
        <f>IF(L11="","",IF(T11="no",O11-'Visit 2'!B11,L11-'Visit 2'!B11))</f>
        <v>601</v>
      </c>
      <c r="S11" s="191">
        <f t="shared" si="1"/>
        <v>85.85714285714286</v>
      </c>
      <c r="T11" s="206" t="s">
        <v>51</v>
      </c>
      <c r="U11" s="194" t="s">
        <v>51</v>
      </c>
      <c r="V11" s="194" t="s">
        <v>51</v>
      </c>
      <c r="W11" s="195" t="s">
        <v>51</v>
      </c>
    </row>
    <row r="12" spans="1:23" s="131" customFormat="1" ht="12.75">
      <c r="A12" s="105">
        <f>IF(Demography!A11="","",Demography!A11)</f>
        <v>992</v>
      </c>
      <c r="B12" s="333">
        <v>36557</v>
      </c>
      <c r="C12" s="149">
        <f>IF($B12="","missing data",($B12-'Visit 5'!$B12)/7)</f>
        <v>11.714285714285714</v>
      </c>
      <c r="D12" s="149">
        <f>IF($B12="","missing data",($B12-'Visit 2'!$B12)/7)</f>
        <v>66.57142857142857</v>
      </c>
      <c r="E12" s="105"/>
      <c r="F12" s="148">
        <f>IF($H12="no",$E12-'Visit 5'!$B12,IF($H12="yes",C12*7,""))</f>
        <v>82</v>
      </c>
      <c r="G12" s="148">
        <f>IF(H12="no",E12-'Visit 2'!B12,IF(H12="yes",D12*7,))</f>
        <v>466</v>
      </c>
      <c r="H12" s="206" t="s">
        <v>57</v>
      </c>
      <c r="I12" s="105" t="s">
        <v>57</v>
      </c>
      <c r="J12" s="105" t="s">
        <v>57</v>
      </c>
      <c r="K12" s="105" t="s">
        <v>57</v>
      </c>
      <c r="L12" s="334"/>
      <c r="M12" s="191">
        <f>IF($L12="","",($L12-'Visit 5'!$B12)/7)</f>
      </c>
      <c r="N12" s="192">
        <f>IF(L12="","",(L12-'Visit 2'!B12)/7)</f>
      </c>
      <c r="O12" s="192"/>
      <c r="P12" s="191">
        <f>IF(L12="","",IF(T12="no",O12-'Visit 5'!B12,L12-'Visit 5'!B12))</f>
      </c>
      <c r="Q12" s="191">
        <f t="shared" si="0"/>
      </c>
      <c r="R12" s="191">
        <f>IF(L12="","",IF(T12="no",O12-'Visit 2'!B12,L12-'Visit 2'!B12))</f>
      </c>
      <c r="S12" s="191">
        <f t="shared" si="1"/>
      </c>
      <c r="T12" s="206" t="s">
        <v>291</v>
      </c>
      <c r="U12" s="194"/>
      <c r="V12" s="194"/>
      <c r="W12" s="195"/>
    </row>
    <row r="13" spans="1:23" s="131" customFormat="1" ht="12.75">
      <c r="A13" s="105">
        <f>IF(Demography!A12="","",Demography!A12)</f>
        <v>1163</v>
      </c>
      <c r="B13" s="333"/>
      <c r="C13" s="149">
        <f>IF($B13="","",($B13-'Visit 5'!$B13)/7)</f>
      </c>
      <c r="D13" s="149">
        <f>IF($B13="","",($B13-'Visit 2'!$B13)/7)</f>
      </c>
      <c r="E13" s="105"/>
      <c r="F13" s="148"/>
      <c r="G13" s="148"/>
      <c r="H13" s="206" t="str">
        <f>IF('Visit 5'!S13="No","did not continue to wear",IF('Visit 5'!B13="","did not finish/ has not finished"))</f>
        <v>did not continue to wear</v>
      </c>
      <c r="I13" s="105"/>
      <c r="J13" s="105"/>
      <c r="K13" s="105"/>
      <c r="L13" s="334"/>
      <c r="M13" s="191">
        <f>IF($L13="","",($L13-'Visit 5'!$B13)/7)</f>
      </c>
      <c r="N13" s="192">
        <f>IF(L13="","",(L13-'Visit 2'!B13)/7)</f>
      </c>
      <c r="O13" s="192"/>
      <c r="P13" s="191">
        <f>IF(T13="no",O13-'Visit 5'!B13,"")</f>
      </c>
      <c r="Q13" s="191">
        <f t="shared" si="0"/>
      </c>
      <c r="R13" s="191">
        <f>IF(T13="no",O13-'Visit 2'!B13,"")</f>
      </c>
      <c r="S13" s="191">
        <f t="shared" si="1"/>
      </c>
      <c r="T13" s="206">
        <f>IF(H13="no","did not continue to wear","")</f>
      </c>
      <c r="U13" s="194"/>
      <c r="V13" s="194"/>
      <c r="W13" s="195"/>
    </row>
    <row r="14" spans="1:23" s="131" customFormat="1" ht="12.75">
      <c r="A14" s="105">
        <f>IF(Demography!A13="","",Demography!A13)</f>
        <v>1190</v>
      </c>
      <c r="B14" s="333">
        <v>36442</v>
      </c>
      <c r="C14" s="149">
        <f>IF($B14="","missing data",($B14-'Visit 5'!$B14)/7)</f>
        <v>9.285714285714286</v>
      </c>
      <c r="D14" s="149">
        <f>IF($B14="","missing data",($B14-'Visit 2'!$B14)/7)</f>
        <v>17</v>
      </c>
      <c r="E14" s="105"/>
      <c r="F14" s="148">
        <f>IF($H14="no",$E14-'Visit 5'!$B14,IF($H14="yes",C14*7,""))</f>
        <v>65</v>
      </c>
      <c r="G14" s="148">
        <f>IF(H14="no",E14-'Visit 2'!B14,IF(H14="yes",D14*7,))</f>
        <v>119</v>
      </c>
      <c r="H14" s="206" t="s">
        <v>57</v>
      </c>
      <c r="I14" s="105" t="s">
        <v>57</v>
      </c>
      <c r="J14" s="105" t="s">
        <v>57</v>
      </c>
      <c r="K14" s="105" t="s">
        <v>57</v>
      </c>
      <c r="L14" s="334"/>
      <c r="M14" s="191">
        <f>IF($L14="","",($L14-'Visit 5'!$B14)/7)</f>
      </c>
      <c r="N14" s="192">
        <f>IF(L14="","",(L14-'Visit 2'!B14)/7)</f>
      </c>
      <c r="O14" s="192"/>
      <c r="P14" s="191">
        <f>IF(L14="","",IF(T14="no",O14-'Visit 5'!B14,L14-'Visit 5'!B14))</f>
      </c>
      <c r="Q14" s="191">
        <f t="shared" si="0"/>
      </c>
      <c r="R14" s="191">
        <f>IF(L14="","",IF(T14="no",O14-'Visit 2'!B14,L14-'Visit 2'!B14))</f>
      </c>
      <c r="S14" s="191">
        <f t="shared" si="1"/>
      </c>
      <c r="T14" s="206" t="s">
        <v>337</v>
      </c>
      <c r="U14" s="194"/>
      <c r="V14" s="194"/>
      <c r="W14" s="195"/>
    </row>
    <row r="15" spans="1:23" s="131" customFormat="1" ht="12.75">
      <c r="A15" s="105">
        <f>IF(Demography!A14="","",Demography!A14)</f>
        <v>1231</v>
      </c>
      <c r="B15" s="333"/>
      <c r="C15" s="149">
        <f>IF($B15="","",($B15-'Visit 5'!$B15)/7)</f>
      </c>
      <c r="D15" s="149">
        <f>IF($B15="","",($B15-'Visit 2'!$B15)/7)</f>
      </c>
      <c r="E15" s="105"/>
      <c r="F15" s="148"/>
      <c r="G15" s="148"/>
      <c r="H15" s="206" t="str">
        <f>IF('Visit 5'!S15="No","did not continue to wear",IF('Visit 5'!B15="","did not finish/ has not finished"))</f>
        <v>did not continue to wear</v>
      </c>
      <c r="I15" s="105"/>
      <c r="J15" s="105"/>
      <c r="K15" s="105"/>
      <c r="L15" s="334"/>
      <c r="M15" s="191">
        <f>IF($L15="","",($L15-'Visit 5'!$B15)/7)</f>
      </c>
      <c r="N15" s="192">
        <f>IF(L15="","",(L15-'Visit 2'!B15)/7)</f>
      </c>
      <c r="O15" s="192"/>
      <c r="P15" s="191">
        <f>IF(T15="no",O15-'Visit 5'!B15,"")</f>
      </c>
      <c r="Q15" s="191">
        <f t="shared" si="0"/>
      </c>
      <c r="R15" s="191">
        <f>IF(T15="no",O15-'Visit 2'!B15,"")</f>
      </c>
      <c r="S15" s="191">
        <f t="shared" si="1"/>
      </c>
      <c r="T15" s="206">
        <f>IF(H15="no","did not continue to wear","")</f>
      </c>
      <c r="U15" s="194"/>
      <c r="V15" s="194"/>
      <c r="W15" s="195"/>
    </row>
    <row r="16" spans="1:23" s="131" customFormat="1" ht="12.75">
      <c r="A16" s="316">
        <f>IF(Demography!A15="","",Demography!A15)</f>
        <v>1235</v>
      </c>
      <c r="B16" s="333"/>
      <c r="C16" s="149">
        <f>IF($B16="","",($B16-'Visit 5'!$B16)/7)</f>
      </c>
      <c r="D16" s="149">
        <f>IF($B16="","",($B16-'Visit 2'!$B16)/7)</f>
      </c>
      <c r="E16" s="105"/>
      <c r="F16" s="148"/>
      <c r="G16" s="148"/>
      <c r="H16" s="206" t="str">
        <f>IF('Visit 5'!S16="No","did not continue to wear",IF('Visit 5'!B16="","did not finish/ has not finished"))</f>
        <v>did not finish/ has not finished</v>
      </c>
      <c r="I16" s="105"/>
      <c r="J16" s="105"/>
      <c r="K16" s="105"/>
      <c r="L16" s="334"/>
      <c r="M16" s="191">
        <f>IF($L16="","",($L16-'Visit 5'!$B16)/7)</f>
      </c>
      <c r="N16" s="192">
        <f>IF(L16="","",(L16-'Visit 2'!B16)/7)</f>
      </c>
      <c r="O16" s="192"/>
      <c r="P16" s="191">
        <f>IF(T16="no",O16-'Visit 5'!B16,"")</f>
      </c>
      <c r="Q16" s="191">
        <f t="shared" si="0"/>
      </c>
      <c r="R16" s="191">
        <f>IF(T16="no",O16-'Visit 2'!B16,"")</f>
      </c>
      <c r="S16" s="191">
        <f t="shared" si="1"/>
      </c>
      <c r="T16" s="206">
        <f>IF(H16="no","did not continue to wear","")</f>
      </c>
      <c r="U16" s="194"/>
      <c r="V16" s="194"/>
      <c r="W16" s="195"/>
    </row>
    <row r="17" spans="1:23" s="131" customFormat="1" ht="12.75">
      <c r="A17" s="105">
        <f>IF(Demography!A16="","",Demography!A16)</f>
        <v>1249</v>
      </c>
      <c r="B17" s="333">
        <v>36505</v>
      </c>
      <c r="C17" s="149">
        <f>IF($B17="","missing data",($B17-'Visit 5'!$B17)/7)</f>
        <v>13</v>
      </c>
      <c r="D17" s="149">
        <f>IF($B17="","missing data",($B17-'Visit 2'!$B17)/7)</f>
        <v>18</v>
      </c>
      <c r="E17" s="105"/>
      <c r="F17" s="148">
        <f>IF($H17="no",$E17-'Visit 5'!$B17,IF($H17="yes",C17*7,""))</f>
        <v>91</v>
      </c>
      <c r="G17" s="148">
        <f>IF(H17="no",E17-'Visit 2'!B17,IF(H17="yes",D17*7,))</f>
        <v>126</v>
      </c>
      <c r="H17" s="206" t="s">
        <v>57</v>
      </c>
      <c r="I17" s="105" t="s">
        <v>57</v>
      </c>
      <c r="J17" s="105" t="s">
        <v>57</v>
      </c>
      <c r="K17" s="105" t="s">
        <v>57</v>
      </c>
      <c r="L17" s="334"/>
      <c r="M17" s="191">
        <f>IF($L17="","",($L17-'Visit 5'!$B17)/7)</f>
      </c>
      <c r="N17" s="192">
        <f>IF(L17="","",(L17-'Visit 2'!B17)/7)</f>
      </c>
      <c r="O17" s="192"/>
      <c r="P17" s="191">
        <f>IF(L17="","",IF(T17="no",O17-'Visit 5'!B17,L17-'Visit 5'!B17))</f>
      </c>
      <c r="Q17" s="191">
        <f t="shared" si="0"/>
      </c>
      <c r="R17" s="191">
        <f>IF(L17="","",IF(T17="no",O17-'Visit 2'!B17,L17-'Visit 2'!B17))</f>
      </c>
      <c r="S17" s="191">
        <f t="shared" si="1"/>
      </c>
      <c r="T17" s="206" t="s">
        <v>291</v>
      </c>
      <c r="U17" s="194"/>
      <c r="V17" s="194"/>
      <c r="W17" s="195"/>
    </row>
    <row r="18" spans="1:23" s="131" customFormat="1" ht="12.75">
      <c r="A18" s="105">
        <f>IF(Demography!A17="","",Demography!A17)</f>
        <v>1308</v>
      </c>
      <c r="B18" s="333">
        <v>36820</v>
      </c>
      <c r="C18" s="149">
        <f>IF($B18="","missing data",($B18-'Visit 5'!$B18)/7)</f>
        <v>13.285714285714286</v>
      </c>
      <c r="D18" s="149">
        <f>IF($B18="","missing data",($B18-'Visit 2'!$B18)/7)</f>
        <v>26.428571428571427</v>
      </c>
      <c r="E18" s="105"/>
      <c r="F18" s="148">
        <f>IF($H18="no",$E18-'Visit 5'!$B18,IF($H18="yes",C18*7,""))</f>
        <v>93</v>
      </c>
      <c r="G18" s="148">
        <f>IF(H18="no",E18-'Visit 2'!B18,IF(H18="yes",D18*7,))</f>
        <v>185</v>
      </c>
      <c r="H18" s="206" t="s">
        <v>57</v>
      </c>
      <c r="I18" s="105" t="s">
        <v>57</v>
      </c>
      <c r="J18" s="105" t="s">
        <v>57</v>
      </c>
      <c r="K18" s="105" t="s">
        <v>57</v>
      </c>
      <c r="L18" s="334">
        <v>37247</v>
      </c>
      <c r="M18" s="191">
        <f>IF($L18="","",($L18-'Visit 5'!$B18)/7)</f>
        <v>74.28571428571429</v>
      </c>
      <c r="N18" s="192">
        <f>IF(L18="","",(L18-'Visit 2'!B18)/7)</f>
        <v>87.42857142857143</v>
      </c>
      <c r="O18" s="193">
        <v>37011</v>
      </c>
      <c r="P18" s="191">
        <f>IF(L18="","",IF(T18="no",O18-'Visit 5'!B18,L18-'Visit 5'!B18))</f>
        <v>284</v>
      </c>
      <c r="Q18" s="191">
        <f t="shared" si="0"/>
        <v>40.57142857142857</v>
      </c>
      <c r="R18" s="191">
        <f>IF(L18="","",IF(T18="no",O18-'Visit 2'!B18,L18-'Visit 2'!B18))</f>
        <v>376</v>
      </c>
      <c r="S18" s="191">
        <f t="shared" si="1"/>
        <v>53.714285714285715</v>
      </c>
      <c r="T18" s="206" t="s">
        <v>51</v>
      </c>
      <c r="U18" s="194" t="s">
        <v>51</v>
      </c>
      <c r="V18" s="194" t="s">
        <v>51</v>
      </c>
      <c r="W18" s="195" t="s">
        <v>51</v>
      </c>
    </row>
    <row r="19" spans="1:23" s="131" customFormat="1" ht="12.75">
      <c r="A19" s="105">
        <f>IF(Demography!A18="","",Demography!A18)</f>
        <v>1287</v>
      </c>
      <c r="B19" s="333">
        <v>36818</v>
      </c>
      <c r="C19" s="149">
        <f>IF($B19="","missing data",($B19-'Visit 5'!$B19)/7)</f>
        <v>12.857142857142858</v>
      </c>
      <c r="D19" s="149">
        <f>IF($B19="","missing data",($B19-'Visit 2'!$B19)/7)</f>
        <v>21.714285714285715</v>
      </c>
      <c r="E19" s="105"/>
      <c r="F19" s="148">
        <f>IF($H19="no",$E19-'Visit 5'!$B19,IF($H19="yes",C19*7,""))</f>
        <v>90</v>
      </c>
      <c r="G19" s="148">
        <f>IF(H19="no",E19-'Visit 2'!B19,IF(H19="yes",D19*7,))</f>
        <v>152</v>
      </c>
      <c r="H19" s="206" t="s">
        <v>57</v>
      </c>
      <c r="I19" s="105" t="s">
        <v>57</v>
      </c>
      <c r="J19" s="105" t="s">
        <v>57</v>
      </c>
      <c r="K19" s="105" t="s">
        <v>51</v>
      </c>
      <c r="L19" s="334">
        <v>37320</v>
      </c>
      <c r="M19" s="191">
        <f>IF($L19="","",($L19-'Visit 5'!$B19)/7)</f>
        <v>84.57142857142857</v>
      </c>
      <c r="N19" s="192">
        <f>IF(L19="","",(L19-'Visit 2'!B19)/7)</f>
        <v>93.42857142857143</v>
      </c>
      <c r="O19" s="193">
        <v>37134</v>
      </c>
      <c r="P19" s="191">
        <f>IF(L19="","",IF(T19="no",O19-'Visit 5'!B19,L19-'Visit 5'!B19))</f>
        <v>406</v>
      </c>
      <c r="Q19" s="191">
        <f t="shared" si="0"/>
        <v>58</v>
      </c>
      <c r="R19" s="191">
        <f>IF(L19="","",IF(T19="no",O19-'Visit 2'!B19,L19-'Visit 2'!B19))</f>
        <v>468</v>
      </c>
      <c r="S19" s="191">
        <f t="shared" si="1"/>
        <v>66.85714285714286</v>
      </c>
      <c r="T19" s="206" t="s">
        <v>51</v>
      </c>
      <c r="U19" s="194" t="s">
        <v>51</v>
      </c>
      <c r="V19" s="194" t="s">
        <v>51</v>
      </c>
      <c r="W19" s="195" t="s">
        <v>51</v>
      </c>
    </row>
    <row r="20" spans="1:23" s="131" customFormat="1" ht="12.75">
      <c r="A20" s="105">
        <f>IF(Demography!A19="","",Demography!A19)</f>
        <v>1467</v>
      </c>
      <c r="B20" s="333">
        <v>36966</v>
      </c>
      <c r="C20" s="149">
        <f>IF($B20="","missing data",($B20-'Visit 5'!$B20)/7)</f>
        <v>12.857142857142858</v>
      </c>
      <c r="D20" s="149"/>
      <c r="E20" s="105"/>
      <c r="F20" s="148"/>
      <c r="G20" s="148"/>
      <c r="H20" s="206" t="s">
        <v>57</v>
      </c>
      <c r="I20" s="105" t="s">
        <v>57</v>
      </c>
      <c r="J20" s="105" t="s">
        <v>57</v>
      </c>
      <c r="K20" s="105" t="s">
        <v>57</v>
      </c>
      <c r="L20" s="334"/>
      <c r="M20" s="191">
        <f>IF($L20="","",($L20-'Visit 5'!$B20)/7)</f>
      </c>
      <c r="N20" s="192">
        <f>IF(L20="","",(L20-'Visit 2'!B20)/7)</f>
      </c>
      <c r="O20" s="192"/>
      <c r="P20" s="191">
        <f>IF(T20="no",O20-'Visit 5'!M20,"")</f>
      </c>
      <c r="Q20" s="191"/>
      <c r="R20" s="191"/>
      <c r="S20" s="191">
        <f t="shared" si="1"/>
      </c>
      <c r="T20" s="206" t="s">
        <v>57</v>
      </c>
      <c r="U20" s="194"/>
      <c r="V20" s="194"/>
      <c r="W20" s="195"/>
    </row>
    <row r="21" spans="1:23" s="131" customFormat="1" ht="12.75">
      <c r="A21" s="105">
        <f>IF(Demography!A20="","",Demography!A20)</f>
        <v>1324</v>
      </c>
      <c r="B21" s="333">
        <v>37247</v>
      </c>
      <c r="C21" s="149">
        <f>IF($B21="","missing data",($B21-'Visit 5'!$B21)/7)</f>
        <v>50.285714285714285</v>
      </c>
      <c r="D21" s="149">
        <f>IF($B21="","missing data",($B21-'Visit 2'!$B21)/7)</f>
        <v>59</v>
      </c>
      <c r="E21" s="105"/>
      <c r="F21" s="148">
        <f>IF($H21="no",$E21-'Visit 5'!$B21,IF($H21="yes",C21*7,""))</f>
        <v>352</v>
      </c>
      <c r="G21" s="148">
        <f>IF(H21="no",E21-'Visit 2'!B21,IF(H21="yes",D21*7,))</f>
        <v>413</v>
      </c>
      <c r="H21" s="206" t="s">
        <v>57</v>
      </c>
      <c r="I21" s="105" t="s">
        <v>57</v>
      </c>
      <c r="J21" s="105" t="s">
        <v>51</v>
      </c>
      <c r="K21" s="105" t="s">
        <v>51</v>
      </c>
      <c r="L21" s="334">
        <v>37560</v>
      </c>
      <c r="M21" s="191">
        <f>IF($L21="","",($L21-'Visit 5'!$B21)/7)</f>
        <v>95</v>
      </c>
      <c r="N21" s="192">
        <f>IF(L21="","",(L21-'Visit 2'!B21)/7)</f>
        <v>103.71428571428571</v>
      </c>
      <c r="O21" s="192"/>
      <c r="P21" s="191">
        <f>IF(L21="","",IF(T21="no",O21-'Visit 5'!B21,L21-'Visit 5'!B21))</f>
        <v>665</v>
      </c>
      <c r="Q21" s="191">
        <f t="shared" si="0"/>
        <v>95</v>
      </c>
      <c r="R21" s="191">
        <f>IF(L21="","",IF(T21="no",O21-'Visit 2'!B21,L21-'Visit 2'!B21))</f>
        <v>726</v>
      </c>
      <c r="S21" s="191">
        <f t="shared" si="1"/>
        <v>103.71428571428571</v>
      </c>
      <c r="T21" s="206" t="s">
        <v>57</v>
      </c>
      <c r="U21" s="194" t="s">
        <v>57</v>
      </c>
      <c r="V21" s="194" t="s">
        <v>51</v>
      </c>
      <c r="W21" s="195" t="s">
        <v>57</v>
      </c>
    </row>
    <row r="22" spans="1:23" s="131" customFormat="1" ht="12.75">
      <c r="A22" s="105">
        <f>IF(Demography!A21="","",Demography!A21)</f>
        <v>1565</v>
      </c>
      <c r="B22" s="333">
        <v>37258</v>
      </c>
      <c r="C22" s="149">
        <f>IF($B22="","missing data",($B22-'Visit 5'!$B22)/7)</f>
        <v>22.571428571428573</v>
      </c>
      <c r="D22" s="149">
        <f>IF($B22="","missing data",($B22-'Visit 2'!$B22)/7)</f>
        <v>30.571428571428573</v>
      </c>
      <c r="E22" s="105"/>
      <c r="F22" s="148">
        <f>IF($H22="no",$E22-'Visit 5'!$B22,IF($H22="yes",C22*7,""))</f>
        <v>158</v>
      </c>
      <c r="G22" s="148">
        <f>IF(H22="no",E22-'Visit 2'!B22,IF(H22="yes",D22*7,))</f>
        <v>214</v>
      </c>
      <c r="H22" s="206" t="s">
        <v>57</v>
      </c>
      <c r="I22" s="105" t="s">
        <v>57</v>
      </c>
      <c r="J22" s="105" t="s">
        <v>57</v>
      </c>
      <c r="K22" s="105" t="s">
        <v>57</v>
      </c>
      <c r="L22" s="334">
        <v>37470</v>
      </c>
      <c r="M22" s="191">
        <f>IF($L22="","",($L22-'Visit 5'!$B22)/7)</f>
        <v>52.857142857142854</v>
      </c>
      <c r="N22" s="192">
        <f>IF(L22="","",(L22-'Visit 2'!B22)/7)</f>
        <v>60.857142857142854</v>
      </c>
      <c r="O22" s="192"/>
      <c r="P22" s="191">
        <f>IF(L22="","",IF(T22="no",O22-'Visit 5'!B22,L22-'Visit 5'!B22))</f>
        <v>370</v>
      </c>
      <c r="Q22" s="191">
        <f t="shared" si="0"/>
        <v>52.857142857142854</v>
      </c>
      <c r="R22" s="191">
        <f>IF(L22="","",IF(T22="no",O22-'Visit 2'!B22,L22-'Visit 2'!B22))</f>
        <v>426</v>
      </c>
      <c r="S22" s="191">
        <f t="shared" si="1"/>
        <v>60.857142857142854</v>
      </c>
      <c r="T22" s="206" t="s">
        <v>57</v>
      </c>
      <c r="U22" s="194" t="s">
        <v>57</v>
      </c>
      <c r="V22" s="194" t="s">
        <v>57</v>
      </c>
      <c r="W22" s="195" t="s">
        <v>57</v>
      </c>
    </row>
    <row r="23" spans="1:23" s="131" customFormat="1" ht="12.75">
      <c r="A23" s="105">
        <f>IF(Demography!A22="","",Demography!A22)</f>
        <v>1579</v>
      </c>
      <c r="B23" s="333">
        <v>37247</v>
      </c>
      <c r="C23" s="149">
        <f>IF($B23="","missing data",($B23-'Visit 5'!$B23)/7)</f>
        <v>15</v>
      </c>
      <c r="D23" s="149">
        <f>IF($B23="","missing data",($B23-'Visit 2'!$B23)/7)</f>
        <v>27</v>
      </c>
      <c r="E23" s="105"/>
      <c r="F23" s="148">
        <f>IF($H23="no",$E23-'Visit 5'!$B23,IF($H23="yes",C23*7,""))</f>
        <v>105</v>
      </c>
      <c r="G23" s="148">
        <f>IF(H23="no",E23-'Visit 2'!B23,IF(H23="yes",D23*7,))</f>
        <v>189</v>
      </c>
      <c r="H23" s="206" t="s">
        <v>57</v>
      </c>
      <c r="I23" s="105" t="s">
        <v>57</v>
      </c>
      <c r="J23" s="105" t="s">
        <v>57</v>
      </c>
      <c r="K23" s="105" t="s">
        <v>51</v>
      </c>
      <c r="L23" s="334">
        <v>37533</v>
      </c>
      <c r="M23" s="191">
        <f>IF($L23="","",($L23-'Visit 5'!$B23)/7)</f>
        <v>55.857142857142854</v>
      </c>
      <c r="N23" s="192">
        <f>IF(L23="","",(L23-'Visit 2'!B23)/7)</f>
        <v>67.85714285714286</v>
      </c>
      <c r="O23" s="193">
        <v>37432</v>
      </c>
      <c r="P23" s="191">
        <f>IF(L23="","",IF(T23="no",O23-'Visit 5'!B23,L23-'Visit 5'!B23))</f>
        <v>290</v>
      </c>
      <c r="Q23" s="191">
        <f t="shared" si="0"/>
        <v>41.42857142857143</v>
      </c>
      <c r="R23" s="191">
        <f>IF(L23="","",IF(T23="no",O23-'Visit 2'!B23,L23-'Visit 2'!B23))</f>
        <v>374</v>
      </c>
      <c r="S23" s="191">
        <f t="shared" si="1"/>
        <v>53.42857142857143</v>
      </c>
      <c r="T23" s="206" t="s">
        <v>51</v>
      </c>
      <c r="U23" s="194" t="s">
        <v>51</v>
      </c>
      <c r="V23" s="194" t="s">
        <v>51</v>
      </c>
      <c r="W23" s="195" t="s">
        <v>51</v>
      </c>
    </row>
    <row r="24" spans="1:23" s="131" customFormat="1" ht="12.75">
      <c r="A24" s="105">
        <f>IF(Demography!A23="","",Demography!A23)</f>
        <v>1580</v>
      </c>
      <c r="B24" s="333">
        <v>37247</v>
      </c>
      <c r="C24" s="149">
        <f>IF($B24="","missing data",($B24-'Visit 5'!$B24)/7)</f>
        <v>9.571428571428571</v>
      </c>
      <c r="D24" s="149">
        <f>IF($B24="","missing data",($B24-'Visit 2'!$B24)/7)</f>
        <v>23</v>
      </c>
      <c r="E24" s="105"/>
      <c r="F24" s="148">
        <f>IF($H24="no",$E24-'Visit 5'!$B24,IF($H24="yes",C24*7,""))</f>
        <v>67</v>
      </c>
      <c r="G24" s="148">
        <f>IF(H24="no",E24-'Visit 2'!B24,IF(H24="yes",D24*7,))</f>
        <v>161</v>
      </c>
      <c r="H24" s="206" t="s">
        <v>57</v>
      </c>
      <c r="I24" s="105" t="s">
        <v>57</v>
      </c>
      <c r="J24" s="105" t="s">
        <v>51</v>
      </c>
      <c r="K24" s="105" t="s">
        <v>51</v>
      </c>
      <c r="L24" s="334">
        <v>37520</v>
      </c>
      <c r="M24" s="191">
        <f>IF($L24="","",($L24-'Visit 5'!$B24)/7)</f>
        <v>48.57142857142857</v>
      </c>
      <c r="N24" s="192">
        <f>IF(L24="","",(L24-'Visit 2'!B24)/7)</f>
        <v>62</v>
      </c>
      <c r="O24" s="192"/>
      <c r="P24" s="191">
        <f>IF(L24="","",IF(T24="no",O24-'Visit 5'!B24,L24-'Visit 5'!B24))</f>
        <v>340</v>
      </c>
      <c r="Q24" s="191">
        <f t="shared" si="0"/>
        <v>48.57142857142857</v>
      </c>
      <c r="R24" s="191">
        <f>IF(L24="","",IF(T24="no",O24-'Visit 2'!B24,L24-'Visit 2'!B24))</f>
        <v>434</v>
      </c>
      <c r="S24" s="191">
        <f t="shared" si="1"/>
        <v>62</v>
      </c>
      <c r="T24" s="206" t="s">
        <v>57</v>
      </c>
      <c r="U24" s="194" t="s">
        <v>57</v>
      </c>
      <c r="V24" s="194" t="s">
        <v>51</v>
      </c>
      <c r="W24" s="195" t="s">
        <v>51</v>
      </c>
    </row>
    <row r="25" spans="1:23" s="131" customFormat="1" ht="12.75">
      <c r="A25" s="316">
        <f>IF(Demography!A24="","",Demography!A24)</f>
        <v>1595</v>
      </c>
      <c r="B25" s="333"/>
      <c r="C25" s="149"/>
      <c r="D25" s="149"/>
      <c r="E25" s="105"/>
      <c r="F25" s="148"/>
      <c r="G25" s="148"/>
      <c r="H25" s="206" t="str">
        <f>IF('Visit 5'!S25="No","did not continue to wear",IF('Visit 5'!B25="","did not finish/ has not finished"))</f>
        <v>did not finish/ has not finished</v>
      </c>
      <c r="I25" s="105"/>
      <c r="J25" s="105"/>
      <c r="K25" s="105"/>
      <c r="L25" s="334"/>
      <c r="M25" s="191">
        <f>IF($L25="","",($L25-'Visit 5'!$B25)/7)</f>
      </c>
      <c r="N25" s="192">
        <f>IF(L25="","",(L25-'Visit 2'!B25)/7)</f>
      </c>
      <c r="O25" s="192"/>
      <c r="P25" s="191">
        <f>IF(T25="no",O25-'Visit 5'!M25,"")</f>
      </c>
      <c r="Q25" s="191"/>
      <c r="R25" s="191"/>
      <c r="S25" s="191"/>
      <c r="T25" s="206">
        <f>IF(H25="no","did not continue to wear","")</f>
      </c>
      <c r="U25" s="194"/>
      <c r="V25" s="194"/>
      <c r="W25" s="195"/>
    </row>
    <row r="26" spans="1:23" s="131" customFormat="1" ht="12.75" customHeight="1" thickBot="1">
      <c r="A26" s="199">
        <f>IF(Demography!A25="","",Demography!A25)</f>
        <v>1598</v>
      </c>
      <c r="B26" s="350">
        <v>37247</v>
      </c>
      <c r="C26" s="351">
        <f>IF($B26="","missing data",($B26-'Visit 5'!$B26)/7)</f>
        <v>10</v>
      </c>
      <c r="D26" s="351">
        <f>IF($B26="","missing data",($B26-'Visit 2'!$B26)/7)</f>
        <v>15</v>
      </c>
      <c r="E26" s="199"/>
      <c r="F26" s="196">
        <f>IF($H26="no",$E26-'Visit 5'!$B26,IF($H26="yes",C26*7,""))</f>
        <v>70</v>
      </c>
      <c r="G26" s="196">
        <f>IF(H26="no",E26-'Visit 2'!B26,IF(H26="yes",D26*7,))</f>
        <v>105</v>
      </c>
      <c r="H26" s="206" t="s">
        <v>57</v>
      </c>
      <c r="I26" s="194" t="s">
        <v>51</v>
      </c>
      <c r="J26" s="194" t="s">
        <v>51</v>
      </c>
      <c r="K26" s="195" t="s">
        <v>51</v>
      </c>
      <c r="L26" s="336">
        <v>37498</v>
      </c>
      <c r="M26" s="196">
        <f>IF($L26="","",($L26-'Visit 5'!$B26)/7)</f>
        <v>45.857142857142854</v>
      </c>
      <c r="N26" s="197">
        <f>IF(L26="","",(L26-'Visit 2'!B26)/7)</f>
        <v>50.857142857142854</v>
      </c>
      <c r="O26" s="198">
        <v>37376</v>
      </c>
      <c r="P26" s="196">
        <f>IF(L26="","",IF(T26="no",O26-'Visit 5'!B26,L26-'Visit 5'!B26))</f>
        <v>199</v>
      </c>
      <c r="Q26" s="196">
        <f t="shared" si="0"/>
        <v>28.428571428571427</v>
      </c>
      <c r="R26" s="196">
        <f>IF(L26="","",IF(T26="no",O26-'Visit 2'!B26,L26-'Visit 2'!B26))</f>
        <v>234</v>
      </c>
      <c r="S26" s="191">
        <f t="shared" si="1"/>
        <v>33.42857142857143</v>
      </c>
      <c r="T26" s="207" t="s">
        <v>51</v>
      </c>
      <c r="U26" s="199" t="s">
        <v>51</v>
      </c>
      <c r="V26" s="199" t="s">
        <v>51</v>
      </c>
      <c r="W26" s="200" t="s">
        <v>51</v>
      </c>
    </row>
    <row r="27" spans="1:23" s="131" customFormat="1" ht="24">
      <c r="A27" s="105">
        <f>IF(Demography!A26="","",Demography!A26)</f>
      </c>
      <c r="B27" s="494" t="s">
        <v>338</v>
      </c>
      <c r="C27" s="496" t="s">
        <v>339</v>
      </c>
      <c r="D27" s="498" t="s">
        <v>340</v>
      </c>
      <c r="E27" s="108"/>
      <c r="F27" s="151"/>
      <c r="G27" s="151"/>
      <c r="H27" s="215" t="s">
        <v>284</v>
      </c>
      <c r="I27" s="510" t="s">
        <v>295</v>
      </c>
      <c r="J27" s="379"/>
      <c r="K27" s="511"/>
      <c r="L27" s="105"/>
      <c r="M27" s="148"/>
      <c r="N27" s="105"/>
      <c r="O27" s="105"/>
      <c r="P27" s="148"/>
      <c r="Q27" s="148"/>
      <c r="R27" s="513" t="s">
        <v>332</v>
      </c>
      <c r="S27" s="513" t="s">
        <v>49</v>
      </c>
      <c r="T27" s="215" t="s">
        <v>288</v>
      </c>
      <c r="U27" s="108"/>
      <c r="V27" s="108"/>
      <c r="W27" s="108"/>
    </row>
    <row r="28" spans="1:23" s="131" customFormat="1" ht="29.25" customHeight="1" thickBot="1">
      <c r="A28" s="500" t="s">
        <v>329</v>
      </c>
      <c r="B28" s="495"/>
      <c r="C28" s="497"/>
      <c r="D28" s="499"/>
      <c r="E28"/>
      <c r="F28"/>
      <c r="G28" s="151"/>
      <c r="H28" s="203">
        <f>COUNTIF(H4:H26,"Yes")</f>
        <v>14</v>
      </c>
      <c r="I28" s="218">
        <f>COUNTIF(I4:I26,"Yes")</f>
        <v>12</v>
      </c>
      <c r="J28" s="219">
        <f>COUNTIF(J4:J26,"Yes")</f>
        <v>10</v>
      </c>
      <c r="K28" s="213">
        <f>COUNTIF(K4:K26,"Yes")</f>
        <v>6</v>
      </c>
      <c r="L28" s="108"/>
      <c r="M28" s="151"/>
      <c r="N28" s="108"/>
      <c r="O28" s="108"/>
      <c r="P28" s="151"/>
      <c r="Q28" s="151"/>
      <c r="R28" s="514"/>
      <c r="S28" s="514"/>
      <c r="T28" s="203">
        <f>COUNTIF(T4:T26,"Yes")</f>
        <v>5</v>
      </c>
      <c r="U28" s="108"/>
      <c r="V28" s="108"/>
      <c r="W28" s="108"/>
    </row>
    <row r="29" spans="1:23" s="131" customFormat="1" ht="18.75" customHeight="1">
      <c r="A29" s="500"/>
      <c r="B29" s="352" t="s">
        <v>24</v>
      </c>
      <c r="C29" s="351">
        <f>AVERAGE(C4:C20,C22:C26)</f>
        <v>13.86813186813187</v>
      </c>
      <c r="D29" s="351">
        <f>AVERAGE(D4:D20,D22:D26)</f>
        <v>27.17857142857143</v>
      </c>
      <c r="E29"/>
      <c r="F29"/>
      <c r="G29" s="151"/>
      <c r="H29" s="216" t="s">
        <v>285</v>
      </c>
      <c r="I29" s="510" t="s">
        <v>290</v>
      </c>
      <c r="J29" s="379"/>
      <c r="K29" s="511"/>
      <c r="L29" s="108"/>
      <c r="M29" s="151"/>
      <c r="N29" s="108"/>
      <c r="O29" s="108"/>
      <c r="P29"/>
      <c r="Q29"/>
      <c r="R29" s="268" t="s">
        <v>75</v>
      </c>
      <c r="S29" s="268" t="s">
        <v>75</v>
      </c>
      <c r="T29" s="216" t="s">
        <v>293</v>
      </c>
      <c r="U29" s="108"/>
      <c r="V29" s="108"/>
      <c r="W29" s="108"/>
    </row>
    <row r="30" spans="1:23" s="131" customFormat="1" ht="13.5" thickBot="1">
      <c r="A30" s="500"/>
      <c r="B30" s="352" t="s">
        <v>74</v>
      </c>
      <c r="C30" s="351">
        <f>STDEV(C4:C20,C22:C26)</f>
        <v>3.970324246282337</v>
      </c>
      <c r="D30" s="351">
        <f>STDEV(D4:D20,D22:D26)</f>
        <v>13.380006822131913</v>
      </c>
      <c r="E30"/>
      <c r="F30"/>
      <c r="G30"/>
      <c r="H30" s="203">
        <f>COUNTIF(H4:H26,"did not continue to wear")</f>
        <v>5</v>
      </c>
      <c r="I30" s="218">
        <f>COUNTIF(I4:I26,"No")</f>
        <v>2</v>
      </c>
      <c r="J30" s="219">
        <f>COUNTIF(J4:J26,"No")</f>
        <v>4</v>
      </c>
      <c r="K30" s="213">
        <f>COUNTIF(K4:K26,"No")</f>
        <v>8</v>
      </c>
      <c r="L30" s="108"/>
      <c r="M30" s="151"/>
      <c r="N30" s="108"/>
      <c r="O30" s="108"/>
      <c r="P30"/>
      <c r="Q30"/>
      <c r="R30" s="337">
        <f>12*(S30*7)/365.25</f>
        <v>14.817248459958932</v>
      </c>
      <c r="S30" s="267">
        <f>MEDIAN(S4:S26)</f>
        <v>64.42857142857143</v>
      </c>
      <c r="T30" s="203">
        <f>COUNTIF(T4:T26,"NO")</f>
        <v>6</v>
      </c>
      <c r="U30" s="108"/>
      <c r="V30" s="108"/>
      <c r="W30" s="108"/>
    </row>
    <row r="31" spans="1:23" s="131" customFormat="1" ht="16.5" customHeight="1">
      <c r="A31" s="500"/>
      <c r="B31" s="352" t="s">
        <v>75</v>
      </c>
      <c r="C31" s="351">
        <f>MEDIAN(C4:C20,C22:C26)</f>
        <v>13</v>
      </c>
      <c r="D31" s="351">
        <f>MEDIAN(D4:D20,D22:D26)</f>
        <v>25.071428571428573</v>
      </c>
      <c r="E31"/>
      <c r="F31"/>
      <c r="G31"/>
      <c r="H31" s="217" t="s">
        <v>286</v>
      </c>
      <c r="L31" s="108"/>
      <c r="M31" s="151"/>
      <c r="N31" s="108"/>
      <c r="O31" s="108"/>
      <c r="P31"/>
      <c r="Q31"/>
      <c r="R31" s="268" t="s">
        <v>322</v>
      </c>
      <c r="S31" s="268" t="s">
        <v>322</v>
      </c>
      <c r="T31" s="216" t="s">
        <v>292</v>
      </c>
      <c r="U31" s="108"/>
      <c r="V31" s="108"/>
      <c r="W31" s="108"/>
    </row>
    <row r="32" spans="1:23" s="131" customFormat="1" ht="13.5" thickBot="1">
      <c r="A32" s="500"/>
      <c r="B32" s="352" t="s">
        <v>322</v>
      </c>
      <c r="C32" s="351">
        <f>MIN(C4:C20,C22:C26)</f>
        <v>9.285714285714286</v>
      </c>
      <c r="D32" s="351">
        <f>MIN(D4:D20,D22:D26)</f>
        <v>15</v>
      </c>
      <c r="E32"/>
      <c r="F32"/>
      <c r="G32"/>
      <c r="H32" s="204">
        <v>4</v>
      </c>
      <c r="I32" s="108"/>
      <c r="J32" s="108"/>
      <c r="K32" s="108"/>
      <c r="L32" s="108"/>
      <c r="M32" s="151"/>
      <c r="N32" s="108"/>
      <c r="O32" s="108"/>
      <c r="P32"/>
      <c r="Q32"/>
      <c r="R32" s="337">
        <f>12*(S32*7)/365.25</f>
        <v>7.687885010266941</v>
      </c>
      <c r="S32" s="267">
        <f>MIN(S4:S26)</f>
        <v>33.42857142857143</v>
      </c>
      <c r="T32" s="203">
        <f>COUNTIF(T4:T26,"no response")</f>
        <v>2</v>
      </c>
      <c r="U32" s="108"/>
      <c r="V32" s="108"/>
      <c r="W32" s="108"/>
    </row>
    <row r="33" spans="2:23" s="131" customFormat="1" ht="13.5" thickBot="1">
      <c r="B33" s="353" t="s">
        <v>323</v>
      </c>
      <c r="C33" s="351">
        <f>MAX(C4:C20,C22:C26)</f>
        <v>22.571428571428573</v>
      </c>
      <c r="D33" s="351">
        <f>MAX(D4:D20,D22:D26)</f>
        <v>66.57142857142857</v>
      </c>
      <c r="E33"/>
      <c r="F33"/>
      <c r="G33"/>
      <c r="H33" s="217" t="s">
        <v>287</v>
      </c>
      <c r="I33" s="108"/>
      <c r="J33" s="108"/>
      <c r="K33" s="108"/>
      <c r="L33" s="108"/>
      <c r="M33" s="151"/>
      <c r="N33" s="108"/>
      <c r="O33" s="108"/>
      <c r="P33"/>
      <c r="Q33"/>
      <c r="R33" s="217" t="s">
        <v>323</v>
      </c>
      <c r="S33" s="217" t="s">
        <v>323</v>
      </c>
      <c r="T33" s="216" t="s">
        <v>294</v>
      </c>
      <c r="U33" s="108"/>
      <c r="V33" s="108"/>
      <c r="W33" s="108"/>
    </row>
    <row r="34" spans="2:20" ht="13.5" thickBot="1">
      <c r="B34"/>
      <c r="C34"/>
      <c r="D34"/>
      <c r="E34"/>
      <c r="F34"/>
      <c r="G34"/>
      <c r="H34" s="204">
        <f>SUM(H28,H30,H32)</f>
        <v>23</v>
      </c>
      <c r="P34"/>
      <c r="Q34"/>
      <c r="R34" s="354">
        <f>12*(S34*7)/365.25</f>
        <v>50.46406570841889</v>
      </c>
      <c r="S34" s="267">
        <f>MAX(S4:S26)</f>
        <v>219.42857142857142</v>
      </c>
      <c r="T34" s="214">
        <f>SUM(T28,T30)</f>
        <v>11</v>
      </c>
    </row>
    <row r="35" spans="2:6" ht="12.75">
      <c r="B35"/>
      <c r="C35"/>
      <c r="D35"/>
      <c r="E35"/>
      <c r="F35"/>
    </row>
    <row r="36" spans="2:8" ht="12.75">
      <c r="B36"/>
      <c r="C36"/>
      <c r="D36"/>
      <c r="E36"/>
      <c r="F36"/>
      <c r="H36"/>
    </row>
    <row r="37" spans="2:6" ht="12.75">
      <c r="B37"/>
      <c r="C37"/>
      <c r="D37"/>
      <c r="E37"/>
      <c r="F37"/>
    </row>
    <row r="38" spans="2:6" ht="12.75">
      <c r="B38"/>
      <c r="C38"/>
      <c r="D38"/>
      <c r="E38"/>
      <c r="F38"/>
    </row>
    <row r="39" spans="2:6" ht="12.75">
      <c r="B39"/>
      <c r="C39"/>
      <c r="D39"/>
      <c r="E39"/>
      <c r="F39"/>
    </row>
    <row r="40" spans="2:6" ht="12.75">
      <c r="B40"/>
      <c r="C40"/>
      <c r="D40"/>
      <c r="E40"/>
      <c r="F40"/>
    </row>
    <row r="41" spans="2:6" ht="12.75">
      <c r="B41"/>
      <c r="C41"/>
      <c r="D41"/>
      <c r="E41"/>
      <c r="F41"/>
    </row>
    <row r="42" spans="2:6" ht="12.75">
      <c r="B42"/>
      <c r="C42"/>
      <c r="D42"/>
      <c r="E42"/>
      <c r="F42"/>
    </row>
  </sheetData>
  <mergeCells count="33">
    <mergeCell ref="I29:K29"/>
    <mergeCell ref="T2:T3"/>
    <mergeCell ref="U2:U3"/>
    <mergeCell ref="K2:K3"/>
    <mergeCell ref="R27:R28"/>
    <mergeCell ref="I27:K27"/>
    <mergeCell ref="S27:S28"/>
    <mergeCell ref="I2:I3"/>
    <mergeCell ref="J2:J3"/>
    <mergeCell ref="S2:S3"/>
    <mergeCell ref="L1:W1"/>
    <mergeCell ref="L2:L3"/>
    <mergeCell ref="M2:M3"/>
    <mergeCell ref="N2:N3"/>
    <mergeCell ref="O2:O3"/>
    <mergeCell ref="P2:P3"/>
    <mergeCell ref="Q2:Q3"/>
    <mergeCell ref="R2:R3"/>
    <mergeCell ref="W2:W3"/>
    <mergeCell ref="V2:V3"/>
    <mergeCell ref="A1:A2"/>
    <mergeCell ref="B1:K1"/>
    <mergeCell ref="B2:B3"/>
    <mergeCell ref="C2:C3"/>
    <mergeCell ref="D2:D3"/>
    <mergeCell ref="E2:E3"/>
    <mergeCell ref="F2:F3"/>
    <mergeCell ref="G2:G3"/>
    <mergeCell ref="H2:H3"/>
    <mergeCell ref="B27:B28"/>
    <mergeCell ref="C27:C28"/>
    <mergeCell ref="D27:D28"/>
    <mergeCell ref="A28:A32"/>
  </mergeCells>
  <printOptions/>
  <pageMargins left="0.75" right="0.75" top="1" bottom="1" header="0.5" footer="0.5"/>
  <pageSetup horizontalDpi="600" verticalDpi="600" orientation="portrait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0"/>
  <sheetViews>
    <sheetView zoomScale="75" zoomScaleNormal="75" workbookViewId="0" topLeftCell="I1">
      <selection activeCell="Q6" sqref="Q6"/>
    </sheetView>
  </sheetViews>
  <sheetFormatPr defaultColWidth="9.140625" defaultRowHeight="12"/>
  <cols>
    <col min="1" max="1" width="32.140625" style="2" customWidth="1"/>
    <col min="2" max="2" width="23.8515625" style="1" customWidth="1"/>
    <col min="3" max="3" width="10.8515625" style="1" customWidth="1"/>
    <col min="4" max="4" width="16.421875" style="2" customWidth="1"/>
    <col min="5" max="5" width="15.140625" style="2" customWidth="1"/>
    <col min="6" max="6" width="12.00390625" style="2" customWidth="1"/>
    <col min="7" max="7" width="15.28125" style="1" customWidth="1"/>
    <col min="8" max="8" width="14.8515625" style="1" customWidth="1"/>
    <col min="9" max="11" width="12.00390625" style="1" customWidth="1"/>
    <col min="12" max="12" width="16.8515625" style="1" customWidth="1"/>
    <col min="13" max="15" width="12.00390625" style="1" customWidth="1"/>
    <col min="16" max="16" width="12.00390625" style="16" customWidth="1"/>
    <col min="17" max="17" width="17.8515625" style="1" customWidth="1"/>
    <col min="18" max="19" width="12.00390625" style="1" customWidth="1"/>
    <col min="20" max="20" width="14.00390625" style="1" customWidth="1"/>
    <col min="21" max="21" width="12.00390625" style="1" customWidth="1"/>
    <col min="22" max="22" width="14.28125" style="1" customWidth="1"/>
    <col min="23" max="23" width="14.7109375" style="1" customWidth="1"/>
    <col min="24" max="24" width="15.28125" style="1" customWidth="1"/>
    <col min="25" max="31" width="12.00390625" style="1" customWidth="1"/>
    <col min="32" max="32" width="14.140625" style="1" customWidth="1"/>
    <col min="33" max="33" width="15.140625" style="1" customWidth="1"/>
    <col min="34" max="16384" width="12.00390625" style="2" customWidth="1"/>
  </cols>
  <sheetData>
    <row r="1" spans="1:33" ht="67.5" customHeight="1">
      <c r="A1" s="48" t="s">
        <v>118</v>
      </c>
      <c r="B1" s="371" t="s">
        <v>18</v>
      </c>
      <c r="C1" s="372"/>
      <c r="D1" s="372"/>
      <c r="E1" s="372"/>
      <c r="F1" s="372"/>
      <c r="G1" s="373"/>
      <c r="H1" s="375" t="s">
        <v>246</v>
      </c>
      <c r="I1" s="376"/>
      <c r="J1" s="376"/>
      <c r="K1" s="376"/>
      <c r="L1" s="376"/>
      <c r="M1" s="376"/>
      <c r="N1" s="376" t="s">
        <v>245</v>
      </c>
      <c r="O1" s="376"/>
      <c r="P1" s="374"/>
      <c r="Q1" s="380" t="s">
        <v>247</v>
      </c>
      <c r="R1" s="376" t="s">
        <v>132</v>
      </c>
      <c r="S1" s="376"/>
      <c r="T1" s="376"/>
      <c r="U1" s="376"/>
      <c r="V1" s="376"/>
      <c r="W1" s="376"/>
      <c r="X1" s="376"/>
      <c r="Y1" s="376" t="s">
        <v>133</v>
      </c>
      <c r="Z1" s="376"/>
      <c r="AA1" s="376"/>
      <c r="AB1" s="376"/>
      <c r="AC1" s="376"/>
      <c r="AD1" s="376"/>
      <c r="AE1" s="376"/>
      <c r="AF1" s="374" t="s">
        <v>250</v>
      </c>
      <c r="AG1" s="375"/>
    </row>
    <row r="2" spans="1:33" s="66" customFormat="1" ht="63" customHeight="1">
      <c r="A2" s="67" t="s">
        <v>55</v>
      </c>
      <c r="B2" s="28" t="s">
        <v>103</v>
      </c>
      <c r="C2" s="28" t="s">
        <v>136</v>
      </c>
      <c r="D2" s="28" t="s">
        <v>135</v>
      </c>
      <c r="E2" s="28" t="s">
        <v>0</v>
      </c>
      <c r="F2" s="28" t="s">
        <v>259</v>
      </c>
      <c r="G2" s="28" t="s">
        <v>260</v>
      </c>
      <c r="H2" s="110" t="s">
        <v>10</v>
      </c>
      <c r="I2" s="99" t="s">
        <v>42</v>
      </c>
      <c r="J2" s="99" t="s">
        <v>11</v>
      </c>
      <c r="K2" s="99" t="s">
        <v>42</v>
      </c>
      <c r="L2" s="99" t="s">
        <v>12</v>
      </c>
      <c r="M2" s="99" t="s">
        <v>42</v>
      </c>
      <c r="N2" s="99" t="s">
        <v>41</v>
      </c>
      <c r="O2" s="99" t="s">
        <v>5</v>
      </c>
      <c r="P2" s="282" t="s">
        <v>4</v>
      </c>
      <c r="Q2" s="380"/>
      <c r="R2" s="99" t="s">
        <v>64</v>
      </c>
      <c r="S2" s="100" t="s">
        <v>65</v>
      </c>
      <c r="T2" s="100" t="s">
        <v>66</v>
      </c>
      <c r="U2" s="100" t="s">
        <v>67</v>
      </c>
      <c r="V2" s="100" t="s">
        <v>66</v>
      </c>
      <c r="W2" s="100" t="s">
        <v>68</v>
      </c>
      <c r="X2" s="100" t="s">
        <v>69</v>
      </c>
      <c r="Y2" s="101" t="s">
        <v>64</v>
      </c>
      <c r="Z2" s="100" t="s">
        <v>65</v>
      </c>
      <c r="AA2" s="100" t="s">
        <v>66</v>
      </c>
      <c r="AB2" s="100" t="s">
        <v>67</v>
      </c>
      <c r="AC2" s="100" t="s">
        <v>66</v>
      </c>
      <c r="AD2" s="100" t="s">
        <v>68</v>
      </c>
      <c r="AE2" s="100" t="s">
        <v>69</v>
      </c>
      <c r="AF2" s="99" t="s">
        <v>72</v>
      </c>
      <c r="AG2" s="99" t="s">
        <v>73</v>
      </c>
    </row>
    <row r="3" spans="1:33" ht="14.25">
      <c r="A3" s="125">
        <v>970</v>
      </c>
      <c r="B3" s="69">
        <v>53.51403148528405</v>
      </c>
      <c r="C3" s="68" t="s">
        <v>137</v>
      </c>
      <c r="D3" s="68" t="s">
        <v>27</v>
      </c>
      <c r="E3" s="111" t="s">
        <v>51</v>
      </c>
      <c r="F3" s="112" t="s">
        <v>57</v>
      </c>
      <c r="G3" s="113" t="s">
        <v>51</v>
      </c>
      <c r="H3" s="46">
        <v>50</v>
      </c>
      <c r="I3" s="1">
        <v>2</v>
      </c>
      <c r="J3" s="4">
        <v>30</v>
      </c>
      <c r="K3" s="1">
        <v>-1</v>
      </c>
      <c r="L3" s="1">
        <v>30</v>
      </c>
      <c r="M3" s="1">
        <v>-1</v>
      </c>
      <c r="N3" s="11">
        <f>IF(H3="","",LOG10(H3/20)-I3*(0.1/5)+LOG10(2/3))</f>
        <v>0.18184874961635636</v>
      </c>
      <c r="O3" s="11">
        <f aca="true" t="shared" si="0" ref="O3:O20">IF(J3="","",LOG10(J3/20)-K3*(0.1/5)+LOG10(2/3))</f>
        <v>0.019999999999999962</v>
      </c>
      <c r="P3" s="6">
        <f aca="true" t="shared" si="1" ref="P3:P20">IF(L3="","",LOG10(L3/20)-M3*(0.1/5)+LOG10(2/3))</f>
        <v>0.019999999999999962</v>
      </c>
      <c r="Q3" s="139" t="s">
        <v>51</v>
      </c>
      <c r="R3" s="36">
        <v>20</v>
      </c>
      <c r="S3" s="114">
        <v>18</v>
      </c>
      <c r="T3" s="114">
        <f>IF(R3="","",IF(R3=40,S3*0.22,S3*0.11))</f>
        <v>1.98</v>
      </c>
      <c r="U3" s="114">
        <v>14</v>
      </c>
      <c r="V3" s="114">
        <f>IF(R3="","",IF(R3=40,U3*0.22,U3*0.11))</f>
        <v>1.54</v>
      </c>
      <c r="W3" s="114">
        <f>IF(S3="","",S3+U3)</f>
        <v>32</v>
      </c>
      <c r="X3" s="115">
        <f>IF(T3="","",T3+V3)</f>
        <v>3.52</v>
      </c>
      <c r="Y3" s="42">
        <v>20</v>
      </c>
      <c r="Z3" s="114">
        <v>44</v>
      </c>
      <c r="AA3" s="114">
        <f>IF(Y3="","",IF(Y3=40,Z3*0.22,Z3*0.11))</f>
        <v>4.84</v>
      </c>
      <c r="AB3" s="114">
        <v>0</v>
      </c>
      <c r="AC3" s="114">
        <f>IF(Y3="","",IF(Y3=40,AB3*0.22,AB3*0.11))</f>
        <v>0</v>
      </c>
      <c r="AD3" s="107">
        <f>IF(Z3="","",Z3+AB3)</f>
        <v>44</v>
      </c>
      <c r="AE3" s="119">
        <f>IF(AA3="","",AA3+AC3)</f>
        <v>4.84</v>
      </c>
      <c r="AF3" s="121">
        <f>IF(W3="","",AVERAGE(W3,AD3))</f>
        <v>38</v>
      </c>
      <c r="AG3" s="115">
        <f>IF(X3="","",AVERAGE(X3,AE3))</f>
        <v>4.18</v>
      </c>
    </row>
    <row r="4" spans="1:33" ht="14.25">
      <c r="A4" s="125">
        <v>979</v>
      </c>
      <c r="B4" s="69">
        <v>64.22724161533196</v>
      </c>
      <c r="C4" s="68" t="s">
        <v>138</v>
      </c>
      <c r="D4" s="68" t="s">
        <v>27</v>
      </c>
      <c r="E4" s="111" t="s">
        <v>51</v>
      </c>
      <c r="F4" s="112" t="s">
        <v>51</v>
      </c>
      <c r="G4" s="113" t="s">
        <v>57</v>
      </c>
      <c r="H4" s="107">
        <v>30</v>
      </c>
      <c r="I4" s="1">
        <v>0</v>
      </c>
      <c r="J4" s="1">
        <v>30</v>
      </c>
      <c r="K4" s="1">
        <v>1</v>
      </c>
      <c r="L4" s="1">
        <v>25</v>
      </c>
      <c r="M4" s="1">
        <v>-1</v>
      </c>
      <c r="N4" s="11">
        <f>IF(H4="","",LOG10(H4/20)-I4*(0.1/5)+LOG10(2/3))</f>
        <v>-2.7755575615628914E-17</v>
      </c>
      <c r="O4" s="11">
        <f t="shared" si="0"/>
        <v>-0.020000000000000018</v>
      </c>
      <c r="P4" s="6">
        <f t="shared" si="1"/>
        <v>-0.05918124604762484</v>
      </c>
      <c r="Q4" s="139" t="s">
        <v>51</v>
      </c>
      <c r="R4" s="36">
        <v>40</v>
      </c>
      <c r="S4" s="114">
        <v>28</v>
      </c>
      <c r="T4" s="114">
        <f aca="true" t="shared" si="2" ref="T4:T16">IF(R4="","",IF(R4=40,S4*0.22,S4*0.11))</f>
        <v>6.16</v>
      </c>
      <c r="U4" s="114">
        <v>0</v>
      </c>
      <c r="V4" s="114">
        <f aca="true" t="shared" si="3" ref="V4:V16">IF(R4="","",IF(R4=40,U4*0.22,U4*0.11))</f>
        <v>0</v>
      </c>
      <c r="W4" s="114">
        <f aca="true" t="shared" si="4" ref="W4:X16">IF(S4="","",S4+U4)</f>
        <v>28</v>
      </c>
      <c r="X4" s="115">
        <f t="shared" si="4"/>
        <v>6.16</v>
      </c>
      <c r="Y4" s="42">
        <v>40</v>
      </c>
      <c r="Z4" s="114">
        <v>40</v>
      </c>
      <c r="AA4" s="114">
        <f aca="true" t="shared" si="5" ref="AA4:AA16">IF(Y4="","",IF(Y4=40,Z4*0.22,Z4*0.11))</f>
        <v>8.8</v>
      </c>
      <c r="AB4" s="114">
        <v>5</v>
      </c>
      <c r="AC4" s="114">
        <f aca="true" t="shared" si="6" ref="AC4:AC16">IF(Y4="","",IF(Y4=40,AB4*0.22,AB4*0.11))</f>
        <v>1.1</v>
      </c>
      <c r="AD4" s="107">
        <f aca="true" t="shared" si="7" ref="AD4:AE16">IF(Z4="","",Z4+AB4)</f>
        <v>45</v>
      </c>
      <c r="AE4" s="119">
        <f t="shared" si="7"/>
        <v>9.9</v>
      </c>
      <c r="AF4" s="121">
        <f aca="true" t="shared" si="8" ref="AF4:AG16">IF(W4="","",AVERAGE(W4,AD4))</f>
        <v>36.5</v>
      </c>
      <c r="AG4" s="115">
        <f t="shared" si="8"/>
        <v>8.030000000000001</v>
      </c>
    </row>
    <row r="5" spans="1:33" ht="14.25">
      <c r="A5" s="125">
        <v>1035</v>
      </c>
      <c r="B5" s="69">
        <v>31.808350444900753</v>
      </c>
      <c r="C5" s="68" t="s">
        <v>138</v>
      </c>
      <c r="D5" s="68" t="s">
        <v>26</v>
      </c>
      <c r="E5" s="111" t="s">
        <v>51</v>
      </c>
      <c r="F5" s="112" t="s">
        <v>51</v>
      </c>
      <c r="G5" s="113" t="s">
        <v>51</v>
      </c>
      <c r="H5" s="107">
        <v>30</v>
      </c>
      <c r="I5" s="1">
        <v>0</v>
      </c>
      <c r="J5" s="1">
        <v>40</v>
      </c>
      <c r="K5" s="1">
        <v>1</v>
      </c>
      <c r="L5" s="1">
        <v>30</v>
      </c>
      <c r="M5" s="1">
        <v>0</v>
      </c>
      <c r="N5" s="11">
        <f>IF(H5="","",LOG10(H5/20)-I5*(0.1/5)+LOG10(2/3))</f>
        <v>-2.7755575615628914E-17</v>
      </c>
      <c r="O5" s="11">
        <f t="shared" si="0"/>
        <v>0.10493873660829992</v>
      </c>
      <c r="P5" s="6">
        <f t="shared" si="1"/>
        <v>-2.7755575615628914E-17</v>
      </c>
      <c r="Q5" s="139" t="s">
        <v>51</v>
      </c>
      <c r="R5" s="36">
        <v>40</v>
      </c>
      <c r="S5" s="114">
        <v>30</v>
      </c>
      <c r="T5" s="114">
        <f t="shared" si="2"/>
        <v>6.6</v>
      </c>
      <c r="U5" s="114">
        <v>2</v>
      </c>
      <c r="V5" s="114">
        <f t="shared" si="3"/>
        <v>0.44</v>
      </c>
      <c r="W5" s="114">
        <f t="shared" si="4"/>
        <v>32</v>
      </c>
      <c r="X5" s="115">
        <f t="shared" si="4"/>
        <v>7.04</v>
      </c>
      <c r="Y5" s="42">
        <v>40</v>
      </c>
      <c r="Z5" s="114">
        <v>11</v>
      </c>
      <c r="AA5" s="114">
        <f t="shared" si="5"/>
        <v>2.42</v>
      </c>
      <c r="AB5" s="114">
        <v>0</v>
      </c>
      <c r="AC5" s="114">
        <f t="shared" si="6"/>
        <v>0</v>
      </c>
      <c r="AD5" s="107">
        <f t="shared" si="7"/>
        <v>11</v>
      </c>
      <c r="AE5" s="119">
        <f t="shared" si="7"/>
        <v>2.42</v>
      </c>
      <c r="AF5" s="121">
        <f t="shared" si="8"/>
        <v>21.5</v>
      </c>
      <c r="AG5" s="115">
        <f t="shared" si="8"/>
        <v>4.73</v>
      </c>
    </row>
    <row r="6" spans="1:33" ht="14.25">
      <c r="A6" s="125">
        <v>1018</v>
      </c>
      <c r="B6" s="69">
        <v>38.789869952087614</v>
      </c>
      <c r="C6" s="68" t="s">
        <v>137</v>
      </c>
      <c r="D6" s="68" t="s">
        <v>26</v>
      </c>
      <c r="E6" s="111" t="s">
        <v>51</v>
      </c>
      <c r="F6" s="112" t="s">
        <v>51</v>
      </c>
      <c r="G6" s="113" t="s">
        <v>51</v>
      </c>
      <c r="H6" s="107">
        <v>20</v>
      </c>
      <c r="I6" s="1">
        <v>20</v>
      </c>
      <c r="J6" s="1">
        <v>20</v>
      </c>
      <c r="K6" s="1">
        <v>20</v>
      </c>
      <c r="L6" s="1">
        <v>20</v>
      </c>
      <c r="M6" s="1">
        <v>3</v>
      </c>
      <c r="N6" s="11">
        <f>IF(H6="","",LOG10(H6/20)-I6*(0.1/5)+LOG10(2/3))</f>
        <v>-0.5760912590556813</v>
      </c>
      <c r="O6" s="11">
        <f t="shared" si="0"/>
        <v>-0.5760912590556813</v>
      </c>
      <c r="P6" s="6">
        <f t="shared" si="1"/>
        <v>-0.23609125905568126</v>
      </c>
      <c r="Q6" s="139" t="s">
        <v>51</v>
      </c>
      <c r="R6" s="36">
        <v>20</v>
      </c>
      <c r="S6" s="114">
        <v>12</v>
      </c>
      <c r="T6" s="114">
        <f t="shared" si="2"/>
        <v>1.32</v>
      </c>
      <c r="U6" s="114">
        <v>7</v>
      </c>
      <c r="V6" s="114">
        <f t="shared" si="3"/>
        <v>0.77</v>
      </c>
      <c r="W6" s="114">
        <f t="shared" si="4"/>
        <v>19</v>
      </c>
      <c r="X6" s="115">
        <f t="shared" si="4"/>
        <v>2.09</v>
      </c>
      <c r="Y6" s="42">
        <v>20</v>
      </c>
      <c r="Z6" s="114">
        <v>9</v>
      </c>
      <c r="AA6" s="114">
        <f t="shared" si="5"/>
        <v>0.99</v>
      </c>
      <c r="AB6" s="114">
        <v>5</v>
      </c>
      <c r="AC6" s="114">
        <f t="shared" si="6"/>
        <v>0.55</v>
      </c>
      <c r="AD6" s="107">
        <f t="shared" si="7"/>
        <v>14</v>
      </c>
      <c r="AE6" s="119">
        <f t="shared" si="7"/>
        <v>1.54</v>
      </c>
      <c r="AF6" s="121">
        <f t="shared" si="8"/>
        <v>16.5</v>
      </c>
      <c r="AG6" s="115">
        <f t="shared" si="8"/>
        <v>1.815</v>
      </c>
    </row>
    <row r="7" spans="1:33" ht="14.25">
      <c r="A7" s="299">
        <v>1106</v>
      </c>
      <c r="B7" s="69">
        <v>42.171115674195754</v>
      </c>
      <c r="C7" s="68" t="s">
        <v>137</v>
      </c>
      <c r="D7" s="68" t="s">
        <v>26</v>
      </c>
      <c r="E7" s="111" t="s">
        <v>57</v>
      </c>
      <c r="F7" s="112" t="s">
        <v>51</v>
      </c>
      <c r="G7" s="113" t="s">
        <v>51</v>
      </c>
      <c r="H7" s="107">
        <v>30</v>
      </c>
      <c r="I7" s="1">
        <v>2</v>
      </c>
      <c r="J7" s="1">
        <v>25</v>
      </c>
      <c r="K7" s="1">
        <v>0</v>
      </c>
      <c r="L7" s="1">
        <v>20</v>
      </c>
      <c r="M7" s="1">
        <v>-1</v>
      </c>
      <c r="N7" s="11">
        <f>IF(H7="","",LOG10(H7/20)-I7*(0.1/5)+LOG10(2/3))</f>
        <v>-0.040000000000000036</v>
      </c>
      <c r="O7" s="11">
        <f t="shared" si="0"/>
        <v>-0.07918124604762485</v>
      </c>
      <c r="P7" s="6">
        <f t="shared" si="1"/>
        <v>-0.15609125905568128</v>
      </c>
      <c r="Q7" s="139" t="s">
        <v>51</v>
      </c>
      <c r="R7" s="36">
        <v>40</v>
      </c>
      <c r="S7" s="114">
        <v>28</v>
      </c>
      <c r="T7" s="114">
        <f t="shared" si="2"/>
        <v>6.16</v>
      </c>
      <c r="U7" s="114">
        <v>1</v>
      </c>
      <c r="V7" s="114">
        <f t="shared" si="3"/>
        <v>0.22</v>
      </c>
      <c r="W7" s="114">
        <f t="shared" si="4"/>
        <v>29</v>
      </c>
      <c r="X7" s="115">
        <f t="shared" si="4"/>
        <v>6.38</v>
      </c>
      <c r="Y7" s="42">
        <v>20</v>
      </c>
      <c r="Z7" s="114">
        <v>27</v>
      </c>
      <c r="AA7" s="114">
        <f t="shared" si="5"/>
        <v>2.97</v>
      </c>
      <c r="AB7" s="114">
        <v>4</v>
      </c>
      <c r="AC7" s="114">
        <f t="shared" si="6"/>
        <v>0.44</v>
      </c>
      <c r="AD7" s="107">
        <f t="shared" si="7"/>
        <v>31</v>
      </c>
      <c r="AE7" s="119">
        <v>3.41</v>
      </c>
      <c r="AF7" s="121">
        <f t="shared" si="8"/>
        <v>30</v>
      </c>
      <c r="AG7" s="115">
        <f t="shared" si="8"/>
        <v>4.895</v>
      </c>
    </row>
    <row r="8" spans="1:33" ht="14.25">
      <c r="A8" s="125">
        <v>1109</v>
      </c>
      <c r="B8" s="69">
        <v>52.421629021218344</v>
      </c>
      <c r="C8" s="68" t="s">
        <v>137</v>
      </c>
      <c r="D8" s="68" t="s">
        <v>26</v>
      </c>
      <c r="E8" s="111" t="s">
        <v>51</v>
      </c>
      <c r="F8" s="112" t="s">
        <v>51</v>
      </c>
      <c r="G8" s="113" t="s">
        <v>51</v>
      </c>
      <c r="H8" s="107">
        <v>25</v>
      </c>
      <c r="I8" s="1">
        <v>-1</v>
      </c>
      <c r="J8" s="1">
        <v>30</v>
      </c>
      <c r="K8" s="1">
        <v>0</v>
      </c>
      <c r="L8" s="1">
        <v>25</v>
      </c>
      <c r="M8" s="1">
        <v>1</v>
      </c>
      <c r="N8" s="11">
        <f>IF(H8="","",LOG10(H8/20)-I8*(0.1/5)+LOG10(2/3))</f>
        <v>-0.05918124604762484</v>
      </c>
      <c r="O8" s="11">
        <f t="shared" si="0"/>
        <v>-2.7755575615628914E-17</v>
      </c>
      <c r="P8" s="6">
        <f t="shared" si="1"/>
        <v>-0.09918124604762485</v>
      </c>
      <c r="Q8" s="139" t="s">
        <v>51</v>
      </c>
      <c r="R8" s="36">
        <v>40</v>
      </c>
      <c r="S8" s="114">
        <v>5</v>
      </c>
      <c r="T8" s="114">
        <f t="shared" si="2"/>
        <v>1.1</v>
      </c>
      <c r="U8" s="114">
        <v>2</v>
      </c>
      <c r="V8" s="114">
        <f t="shared" si="3"/>
        <v>0.44</v>
      </c>
      <c r="W8" s="114">
        <f t="shared" si="4"/>
        <v>7</v>
      </c>
      <c r="X8" s="115">
        <f t="shared" si="4"/>
        <v>1.54</v>
      </c>
      <c r="Y8" s="42">
        <v>40</v>
      </c>
      <c r="Z8" s="114">
        <v>3</v>
      </c>
      <c r="AA8" s="114">
        <f t="shared" si="5"/>
        <v>0.66</v>
      </c>
      <c r="AB8" s="114">
        <v>3</v>
      </c>
      <c r="AC8" s="114">
        <f t="shared" si="6"/>
        <v>0.66</v>
      </c>
      <c r="AD8" s="107">
        <f t="shared" si="7"/>
        <v>6</v>
      </c>
      <c r="AE8" s="119">
        <f t="shared" si="7"/>
        <v>1.32</v>
      </c>
      <c r="AF8" s="121">
        <f t="shared" si="8"/>
        <v>6.5</v>
      </c>
      <c r="AG8" s="115">
        <f t="shared" si="8"/>
        <v>1.4300000000000002</v>
      </c>
    </row>
    <row r="9" spans="1:33" ht="14.25">
      <c r="A9" s="299">
        <v>1054</v>
      </c>
      <c r="B9" s="69">
        <v>63.846680355920604</v>
      </c>
      <c r="C9" s="68" t="s">
        <v>138</v>
      </c>
      <c r="D9" s="68" t="s">
        <v>26</v>
      </c>
      <c r="E9" s="111" t="s">
        <v>51</v>
      </c>
      <c r="F9" s="112" t="s">
        <v>51</v>
      </c>
      <c r="G9" s="113" t="s">
        <v>51</v>
      </c>
      <c r="H9" s="107">
        <v>40</v>
      </c>
      <c r="I9" s="1">
        <v>2</v>
      </c>
      <c r="J9" s="1">
        <v>30</v>
      </c>
      <c r="K9" s="1">
        <v>1</v>
      </c>
      <c r="L9" s="1">
        <v>30</v>
      </c>
      <c r="M9" s="1">
        <v>1</v>
      </c>
      <c r="N9" s="11">
        <f aca="true" t="shared" si="9" ref="N9:N20">IF(H9="","",LOG10(H9/20)-I9*(0.1/5)+LOG10(2/3))</f>
        <v>0.08493873660829995</v>
      </c>
      <c r="O9" s="11">
        <f t="shared" si="0"/>
        <v>-0.020000000000000018</v>
      </c>
      <c r="P9" s="6">
        <f t="shared" si="1"/>
        <v>-0.020000000000000018</v>
      </c>
      <c r="Q9" s="139" t="s">
        <v>51</v>
      </c>
      <c r="R9" s="36">
        <v>40</v>
      </c>
      <c r="S9" s="114">
        <v>26</v>
      </c>
      <c r="T9" s="114">
        <f t="shared" si="2"/>
        <v>5.72</v>
      </c>
      <c r="U9" s="114">
        <v>2</v>
      </c>
      <c r="V9" s="114">
        <f t="shared" si="3"/>
        <v>0.44</v>
      </c>
      <c r="W9" s="114">
        <f t="shared" si="4"/>
        <v>28</v>
      </c>
      <c r="X9" s="115">
        <f t="shared" si="4"/>
        <v>6.16</v>
      </c>
      <c r="Y9" s="42">
        <v>40</v>
      </c>
      <c r="Z9" s="114">
        <v>14</v>
      </c>
      <c r="AA9" s="114">
        <f t="shared" si="5"/>
        <v>3.08</v>
      </c>
      <c r="AB9" s="114">
        <v>1</v>
      </c>
      <c r="AC9" s="114">
        <f t="shared" si="6"/>
        <v>0.22</v>
      </c>
      <c r="AD9" s="107">
        <f t="shared" si="7"/>
        <v>15</v>
      </c>
      <c r="AE9" s="119">
        <f t="shared" si="7"/>
        <v>3.3000000000000003</v>
      </c>
      <c r="AF9" s="121">
        <f t="shared" si="8"/>
        <v>21.5</v>
      </c>
      <c r="AG9" s="117">
        <f t="shared" si="8"/>
        <v>4.73</v>
      </c>
    </row>
    <row r="10" spans="1:145" ht="14.25">
      <c r="A10" s="125">
        <v>1141</v>
      </c>
      <c r="B10" s="69">
        <v>41.987679671457904</v>
      </c>
      <c r="C10" s="68" t="s">
        <v>137</v>
      </c>
      <c r="D10" s="68" t="s">
        <v>26</v>
      </c>
      <c r="E10" s="111" t="s">
        <v>57</v>
      </c>
      <c r="F10" s="112" t="s">
        <v>51</v>
      </c>
      <c r="G10" s="113" t="s">
        <v>51</v>
      </c>
      <c r="H10" s="107">
        <v>40</v>
      </c>
      <c r="I10" s="1">
        <v>0</v>
      </c>
      <c r="J10" s="1">
        <v>40</v>
      </c>
      <c r="K10" s="1">
        <v>1</v>
      </c>
      <c r="L10" s="1">
        <v>40</v>
      </c>
      <c r="M10" s="1">
        <v>0</v>
      </c>
      <c r="N10" s="11">
        <f t="shared" si="9"/>
        <v>0.12493873660829993</v>
      </c>
      <c r="O10" s="11">
        <f t="shared" si="0"/>
        <v>0.10493873660829992</v>
      </c>
      <c r="P10" s="6">
        <f t="shared" si="1"/>
        <v>0.12493873660829993</v>
      </c>
      <c r="Q10" s="25" t="s">
        <v>51</v>
      </c>
      <c r="R10" s="36">
        <v>40</v>
      </c>
      <c r="S10" s="114">
        <v>4</v>
      </c>
      <c r="T10" s="114">
        <f t="shared" si="2"/>
        <v>0.88</v>
      </c>
      <c r="U10" s="114">
        <v>0</v>
      </c>
      <c r="V10" s="114">
        <f t="shared" si="3"/>
        <v>0</v>
      </c>
      <c r="W10" s="114">
        <f t="shared" si="4"/>
        <v>4</v>
      </c>
      <c r="X10" s="115">
        <f t="shared" si="4"/>
        <v>0.88</v>
      </c>
      <c r="Y10" s="42">
        <v>40</v>
      </c>
      <c r="Z10" s="114">
        <v>1</v>
      </c>
      <c r="AA10" s="114">
        <f t="shared" si="5"/>
        <v>0.22</v>
      </c>
      <c r="AB10" s="114">
        <v>1</v>
      </c>
      <c r="AC10" s="114">
        <f t="shared" si="6"/>
        <v>0.22</v>
      </c>
      <c r="AD10" s="107">
        <f t="shared" si="7"/>
        <v>2</v>
      </c>
      <c r="AE10" s="119">
        <f t="shared" si="7"/>
        <v>0.44</v>
      </c>
      <c r="AF10" s="121">
        <f t="shared" si="8"/>
        <v>3</v>
      </c>
      <c r="AG10" s="115">
        <f t="shared" si="8"/>
        <v>0.66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256" ht="14.25">
      <c r="A11" s="126">
        <v>992</v>
      </c>
      <c r="B11" s="69">
        <v>24.164271047227928</v>
      </c>
      <c r="C11" s="68" t="s">
        <v>138</v>
      </c>
      <c r="D11" s="68" t="s">
        <v>27</v>
      </c>
      <c r="E11" s="111" t="s">
        <v>51</v>
      </c>
      <c r="F11" s="112" t="s">
        <v>51</v>
      </c>
      <c r="G11" s="113" t="s">
        <v>51</v>
      </c>
      <c r="H11" s="107">
        <v>20</v>
      </c>
      <c r="I11" s="1">
        <v>0</v>
      </c>
      <c r="J11" s="1">
        <v>20</v>
      </c>
      <c r="K11" s="1">
        <v>0</v>
      </c>
      <c r="L11" s="1">
        <v>20</v>
      </c>
      <c r="M11" s="1">
        <v>0</v>
      </c>
      <c r="N11" s="11">
        <f t="shared" si="9"/>
        <v>-0.17609125905568127</v>
      </c>
      <c r="O11" s="11">
        <f t="shared" si="0"/>
        <v>-0.17609125905568127</v>
      </c>
      <c r="P11" s="6">
        <f t="shared" si="1"/>
        <v>-0.17609125905568127</v>
      </c>
      <c r="Q11" s="25" t="s">
        <v>51</v>
      </c>
      <c r="R11" s="36">
        <v>20</v>
      </c>
      <c r="S11" s="114">
        <v>3</v>
      </c>
      <c r="T11" s="114">
        <f t="shared" si="2"/>
        <v>0.33</v>
      </c>
      <c r="U11" s="114">
        <v>3</v>
      </c>
      <c r="V11" s="114">
        <f t="shared" si="3"/>
        <v>0.33</v>
      </c>
      <c r="W11" s="114">
        <f t="shared" si="4"/>
        <v>6</v>
      </c>
      <c r="X11" s="115">
        <f t="shared" si="4"/>
        <v>0.66</v>
      </c>
      <c r="Y11" s="42">
        <v>20</v>
      </c>
      <c r="Z11" s="114">
        <v>3</v>
      </c>
      <c r="AA11" s="114">
        <f t="shared" si="5"/>
        <v>0.33</v>
      </c>
      <c r="AB11" s="114">
        <v>4</v>
      </c>
      <c r="AC11" s="114">
        <f t="shared" si="6"/>
        <v>0.44</v>
      </c>
      <c r="AD11" s="107">
        <f t="shared" si="7"/>
        <v>7</v>
      </c>
      <c r="AE11" s="119">
        <f t="shared" si="7"/>
        <v>0.77</v>
      </c>
      <c r="AF11" s="121">
        <f t="shared" si="8"/>
        <v>6.5</v>
      </c>
      <c r="AG11" s="115">
        <f t="shared" si="8"/>
        <v>0.7150000000000001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3" customFormat="1" ht="14.25">
      <c r="A12" s="126">
        <v>1163</v>
      </c>
      <c r="B12" s="69">
        <v>15.980835044490075</v>
      </c>
      <c r="C12" s="288" t="s">
        <v>138</v>
      </c>
      <c r="D12" s="288" t="s">
        <v>27</v>
      </c>
      <c r="E12" s="289" t="s">
        <v>51</v>
      </c>
      <c r="F12" s="290" t="s">
        <v>51</v>
      </c>
      <c r="G12" s="291" t="s">
        <v>57</v>
      </c>
      <c r="H12" s="107">
        <v>30</v>
      </c>
      <c r="I12" s="1">
        <v>0</v>
      </c>
      <c r="J12" s="1">
        <v>30</v>
      </c>
      <c r="K12" s="1">
        <v>-1</v>
      </c>
      <c r="L12" s="1">
        <v>25</v>
      </c>
      <c r="M12" s="1">
        <v>1</v>
      </c>
      <c r="N12" s="11">
        <f t="shared" si="9"/>
        <v>-2.7755575615628914E-17</v>
      </c>
      <c r="O12" s="11">
        <f t="shared" si="0"/>
        <v>0.019999999999999962</v>
      </c>
      <c r="P12" s="6">
        <f t="shared" si="1"/>
        <v>-0.09918124604762485</v>
      </c>
      <c r="Q12" s="25" t="s">
        <v>51</v>
      </c>
      <c r="R12" s="107"/>
      <c r="S12" s="114"/>
      <c r="T12" s="114">
        <f t="shared" si="2"/>
      </c>
      <c r="U12" s="114"/>
      <c r="V12" s="114">
        <f t="shared" si="3"/>
      </c>
      <c r="W12" s="114">
        <f t="shared" si="4"/>
      </c>
      <c r="X12" s="115">
        <f t="shared" si="4"/>
      </c>
      <c r="Y12" s="42"/>
      <c r="Z12" s="114"/>
      <c r="AA12" s="114">
        <f t="shared" si="5"/>
      </c>
      <c r="AB12" s="114"/>
      <c r="AC12" s="114">
        <f t="shared" si="6"/>
      </c>
      <c r="AD12" s="107">
        <f t="shared" si="7"/>
      </c>
      <c r="AE12" s="119">
        <f t="shared" si="7"/>
      </c>
      <c r="AF12" s="121">
        <f t="shared" si="8"/>
      </c>
      <c r="AG12" s="115">
        <f t="shared" si="8"/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3" customFormat="1" ht="14.25">
      <c r="A13" s="126">
        <v>1190</v>
      </c>
      <c r="B13" s="69">
        <v>31.140314852840522</v>
      </c>
      <c r="C13" s="288" t="s">
        <v>138</v>
      </c>
      <c r="D13" s="288" t="s">
        <v>27</v>
      </c>
      <c r="E13" s="289" t="s">
        <v>51</v>
      </c>
      <c r="F13" s="290" t="s">
        <v>51</v>
      </c>
      <c r="G13" s="291" t="s">
        <v>51</v>
      </c>
      <c r="H13" s="107">
        <v>40</v>
      </c>
      <c r="I13" s="1">
        <v>0</v>
      </c>
      <c r="J13" s="1">
        <v>30</v>
      </c>
      <c r="K13" s="1">
        <v>-1</v>
      </c>
      <c r="L13" s="1">
        <v>30</v>
      </c>
      <c r="M13" s="1">
        <v>0</v>
      </c>
      <c r="N13" s="11">
        <f t="shared" si="9"/>
        <v>0.12493873660829993</v>
      </c>
      <c r="O13" s="11">
        <f t="shared" si="0"/>
        <v>0.019999999999999962</v>
      </c>
      <c r="P13" s="6">
        <f t="shared" si="1"/>
        <v>-2.7755575615628914E-17</v>
      </c>
      <c r="Q13" s="25" t="s">
        <v>51</v>
      </c>
      <c r="R13" s="107">
        <v>40</v>
      </c>
      <c r="S13" s="114">
        <v>3</v>
      </c>
      <c r="T13" s="114">
        <f t="shared" si="2"/>
        <v>0.66</v>
      </c>
      <c r="U13" s="114">
        <v>2</v>
      </c>
      <c r="V13" s="114">
        <f t="shared" si="3"/>
        <v>0.44</v>
      </c>
      <c r="W13" s="114">
        <f t="shared" si="4"/>
        <v>5</v>
      </c>
      <c r="X13" s="115">
        <f t="shared" si="4"/>
        <v>1.1</v>
      </c>
      <c r="Y13" s="42">
        <v>40</v>
      </c>
      <c r="Z13" s="114">
        <v>2</v>
      </c>
      <c r="AA13" s="114">
        <f t="shared" si="5"/>
        <v>0.44</v>
      </c>
      <c r="AB13" s="114">
        <v>2</v>
      </c>
      <c r="AC13" s="114">
        <f t="shared" si="6"/>
        <v>0.44</v>
      </c>
      <c r="AD13" s="107">
        <f t="shared" si="7"/>
        <v>4</v>
      </c>
      <c r="AE13" s="119">
        <f t="shared" si="7"/>
        <v>0.88</v>
      </c>
      <c r="AF13" s="121">
        <f t="shared" si="8"/>
        <v>4.5</v>
      </c>
      <c r="AG13" s="115">
        <f t="shared" si="8"/>
        <v>0.99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3" customFormat="1" ht="14.25">
      <c r="A14" s="126">
        <v>1231</v>
      </c>
      <c r="B14" s="69">
        <v>38.78713210130048</v>
      </c>
      <c r="C14" s="288" t="s">
        <v>137</v>
      </c>
      <c r="D14" s="288" t="s">
        <v>27</v>
      </c>
      <c r="E14" s="289" t="s">
        <v>51</v>
      </c>
      <c r="F14" s="290" t="s">
        <v>51</v>
      </c>
      <c r="G14" s="291" t="s">
        <v>51</v>
      </c>
      <c r="H14" s="107">
        <v>25</v>
      </c>
      <c r="I14" s="1">
        <v>-1</v>
      </c>
      <c r="J14" s="1">
        <v>20</v>
      </c>
      <c r="K14" s="1">
        <v>-2</v>
      </c>
      <c r="L14" s="1">
        <v>20</v>
      </c>
      <c r="M14" s="1">
        <v>-2</v>
      </c>
      <c r="N14" s="11">
        <f t="shared" si="9"/>
        <v>-0.05918124604762484</v>
      </c>
      <c r="O14" s="11">
        <f t="shared" si="0"/>
        <v>-0.13609125905568126</v>
      </c>
      <c r="P14" s="6">
        <f t="shared" si="1"/>
        <v>-0.13609125905568126</v>
      </c>
      <c r="Q14" s="139" t="s">
        <v>57</v>
      </c>
      <c r="R14" s="107">
        <v>40</v>
      </c>
      <c r="S14" s="114">
        <v>4</v>
      </c>
      <c r="T14" s="114">
        <f t="shared" si="2"/>
        <v>0.88</v>
      </c>
      <c r="U14" s="114">
        <v>2</v>
      </c>
      <c r="V14" s="114">
        <f t="shared" si="3"/>
        <v>0.44</v>
      </c>
      <c r="W14" s="114">
        <f t="shared" si="4"/>
        <v>6</v>
      </c>
      <c r="X14" s="115">
        <f t="shared" si="4"/>
        <v>1.32</v>
      </c>
      <c r="Y14" s="42">
        <v>40</v>
      </c>
      <c r="Z14" s="114">
        <v>5</v>
      </c>
      <c r="AA14" s="114">
        <f t="shared" si="5"/>
        <v>1.1</v>
      </c>
      <c r="AB14" s="114">
        <v>5</v>
      </c>
      <c r="AC14" s="114">
        <f t="shared" si="6"/>
        <v>1.1</v>
      </c>
      <c r="AD14" s="107">
        <f t="shared" si="7"/>
        <v>10</v>
      </c>
      <c r="AE14" s="119">
        <f t="shared" si="7"/>
        <v>2.2</v>
      </c>
      <c r="AF14" s="121">
        <f t="shared" si="8"/>
        <v>8</v>
      </c>
      <c r="AG14" s="115">
        <f t="shared" si="8"/>
        <v>1.7600000000000002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33" s="3" customFormat="1" ht="14.25">
      <c r="A15" s="299">
        <v>1235</v>
      </c>
      <c r="B15" s="69">
        <v>52.55578370978782</v>
      </c>
      <c r="C15" s="288" t="s">
        <v>138</v>
      </c>
      <c r="D15" s="288" t="s">
        <v>26</v>
      </c>
      <c r="E15" s="289" t="s">
        <v>51</v>
      </c>
      <c r="F15" s="290" t="s">
        <v>51</v>
      </c>
      <c r="G15" s="291" t="s">
        <v>51</v>
      </c>
      <c r="H15" s="46">
        <v>20</v>
      </c>
      <c r="I15" s="4">
        <v>-1</v>
      </c>
      <c r="J15" s="4">
        <v>20</v>
      </c>
      <c r="K15" s="4">
        <v>-1</v>
      </c>
      <c r="L15" s="4">
        <v>20</v>
      </c>
      <c r="M15" s="4">
        <v>0</v>
      </c>
      <c r="N15" s="11">
        <f t="shared" si="9"/>
        <v>-0.15609125905568128</v>
      </c>
      <c r="O15" s="11">
        <f t="shared" si="0"/>
        <v>-0.15609125905568128</v>
      </c>
      <c r="P15" s="6">
        <f t="shared" si="1"/>
        <v>-0.17609125905568127</v>
      </c>
      <c r="Q15" s="25" t="s">
        <v>57</v>
      </c>
      <c r="R15" s="46">
        <v>40</v>
      </c>
      <c r="S15" s="116">
        <v>3</v>
      </c>
      <c r="T15" s="116">
        <f t="shared" si="2"/>
        <v>0.66</v>
      </c>
      <c r="U15" s="116">
        <v>1</v>
      </c>
      <c r="V15" s="116">
        <f t="shared" si="3"/>
        <v>0.22</v>
      </c>
      <c r="W15" s="116">
        <f t="shared" si="4"/>
        <v>4</v>
      </c>
      <c r="X15" s="117">
        <f t="shared" si="4"/>
        <v>0.88</v>
      </c>
      <c r="Y15" s="43">
        <v>40</v>
      </c>
      <c r="Z15" s="116">
        <v>3</v>
      </c>
      <c r="AA15" s="116">
        <f t="shared" si="5"/>
        <v>0.66</v>
      </c>
      <c r="AB15" s="116">
        <v>2</v>
      </c>
      <c r="AC15" s="116">
        <f t="shared" si="6"/>
        <v>0.44</v>
      </c>
      <c r="AD15" s="46">
        <f t="shared" si="7"/>
        <v>5</v>
      </c>
      <c r="AE15" s="120">
        <f t="shared" si="7"/>
        <v>1.1</v>
      </c>
      <c r="AF15" s="123">
        <f t="shared" si="8"/>
        <v>4.5</v>
      </c>
      <c r="AG15" s="117">
        <f t="shared" si="8"/>
        <v>0.99</v>
      </c>
    </row>
    <row r="16" spans="1:256" ht="14.25">
      <c r="A16" s="125">
        <v>1249</v>
      </c>
      <c r="B16" s="70">
        <v>69.44010951403149</v>
      </c>
      <c r="C16" s="68" t="s">
        <v>138</v>
      </c>
      <c r="D16" s="68" t="s">
        <v>26</v>
      </c>
      <c r="E16" s="111" t="s">
        <v>51</v>
      </c>
      <c r="F16" s="112" t="s">
        <v>57</v>
      </c>
      <c r="G16" s="113" t="s">
        <v>51</v>
      </c>
      <c r="H16" s="107">
        <v>50</v>
      </c>
      <c r="I16" s="1">
        <v>0</v>
      </c>
      <c r="J16" s="1">
        <v>50</v>
      </c>
      <c r="K16" s="1">
        <v>1</v>
      </c>
      <c r="L16" s="1">
        <v>40</v>
      </c>
      <c r="M16" s="1">
        <v>-1</v>
      </c>
      <c r="N16" s="11">
        <f t="shared" si="9"/>
        <v>0.22184874961635634</v>
      </c>
      <c r="O16" s="11">
        <f t="shared" si="0"/>
        <v>0.20184874961635632</v>
      </c>
      <c r="P16" s="6">
        <f t="shared" si="1"/>
        <v>0.14493873660829995</v>
      </c>
      <c r="Q16" s="139" t="s">
        <v>57</v>
      </c>
      <c r="R16" s="107">
        <v>20</v>
      </c>
      <c r="S16" s="114">
        <v>8</v>
      </c>
      <c r="T16" s="114">
        <f t="shared" si="2"/>
        <v>0.88</v>
      </c>
      <c r="U16" s="114">
        <v>0</v>
      </c>
      <c r="V16" s="114">
        <f t="shared" si="3"/>
        <v>0</v>
      </c>
      <c r="W16" s="114">
        <f t="shared" si="4"/>
        <v>8</v>
      </c>
      <c r="X16" s="115">
        <f t="shared" si="4"/>
        <v>0.88</v>
      </c>
      <c r="Y16" s="42">
        <v>20</v>
      </c>
      <c r="Z16" s="114">
        <v>0</v>
      </c>
      <c r="AA16" s="114">
        <f t="shared" si="5"/>
        <v>0</v>
      </c>
      <c r="AB16" s="114">
        <v>6</v>
      </c>
      <c r="AC16" s="114">
        <f t="shared" si="6"/>
        <v>0.66</v>
      </c>
      <c r="AD16" s="107">
        <f t="shared" si="7"/>
        <v>6</v>
      </c>
      <c r="AE16" s="119">
        <f t="shared" si="7"/>
        <v>0.66</v>
      </c>
      <c r="AF16" s="122">
        <f t="shared" si="8"/>
        <v>7</v>
      </c>
      <c r="AG16" s="118">
        <f t="shared" si="8"/>
        <v>0.77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4.25">
      <c r="A17" s="126">
        <v>1308</v>
      </c>
      <c r="B17" s="70">
        <v>31.46611909650924</v>
      </c>
      <c r="C17" s="68" t="s">
        <v>137</v>
      </c>
      <c r="D17" s="68" t="s">
        <v>26</v>
      </c>
      <c r="E17" s="111" t="s">
        <v>51</v>
      </c>
      <c r="F17" s="112" t="s">
        <v>51</v>
      </c>
      <c r="G17" s="113" t="s">
        <v>57</v>
      </c>
      <c r="H17" s="107">
        <v>20</v>
      </c>
      <c r="I17" s="1">
        <v>2</v>
      </c>
      <c r="J17" s="1">
        <v>50</v>
      </c>
      <c r="K17" s="1">
        <v>2</v>
      </c>
      <c r="L17" s="1">
        <v>25</v>
      </c>
      <c r="M17" s="1">
        <v>3</v>
      </c>
      <c r="N17" s="11">
        <f t="shared" si="9"/>
        <v>-0.21609125905568127</v>
      </c>
      <c r="O17" s="11">
        <f t="shared" si="0"/>
        <v>0.18184874961635636</v>
      </c>
      <c r="P17" s="6">
        <f t="shared" si="1"/>
        <v>-0.13918124604762483</v>
      </c>
      <c r="Q17" s="25" t="s">
        <v>102</v>
      </c>
      <c r="R17" s="107"/>
      <c r="S17" s="114"/>
      <c r="T17" s="114"/>
      <c r="U17" s="114"/>
      <c r="V17" s="114"/>
      <c r="W17" s="114"/>
      <c r="X17" s="115"/>
      <c r="Y17" s="42"/>
      <c r="Z17" s="114"/>
      <c r="AA17" s="114"/>
      <c r="AB17" s="114"/>
      <c r="AC17" s="114"/>
      <c r="AD17" s="107"/>
      <c r="AE17" s="119"/>
      <c r="AF17" s="36"/>
      <c r="AG17" s="107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4.25">
      <c r="A18" s="125">
        <v>1287</v>
      </c>
      <c r="B18" s="70">
        <v>72.10130047912389</v>
      </c>
      <c r="C18" s="68" t="s">
        <v>137</v>
      </c>
      <c r="D18" s="68" t="s">
        <v>26</v>
      </c>
      <c r="E18" s="111" t="s">
        <v>57</v>
      </c>
      <c r="F18" s="112" t="s">
        <v>57</v>
      </c>
      <c r="G18" s="113" t="s">
        <v>57</v>
      </c>
      <c r="H18" s="107">
        <v>40</v>
      </c>
      <c r="I18" s="1">
        <v>0</v>
      </c>
      <c r="J18" s="1">
        <v>50</v>
      </c>
      <c r="K18" s="1">
        <v>0</v>
      </c>
      <c r="L18" s="1">
        <v>40</v>
      </c>
      <c r="M18" s="1">
        <v>0</v>
      </c>
      <c r="N18" s="11">
        <f t="shared" si="9"/>
        <v>0.12493873660829993</v>
      </c>
      <c r="O18" s="11">
        <f t="shared" si="0"/>
        <v>0.22184874961635634</v>
      </c>
      <c r="P18" s="6">
        <f t="shared" si="1"/>
        <v>0.12493873660829993</v>
      </c>
      <c r="Q18" s="25" t="s">
        <v>102</v>
      </c>
      <c r="R18" s="36"/>
      <c r="S18" s="114"/>
      <c r="T18" s="114"/>
      <c r="U18" s="114"/>
      <c r="V18" s="114"/>
      <c r="W18" s="114"/>
      <c r="X18" s="115"/>
      <c r="Y18" s="42"/>
      <c r="Z18" s="114"/>
      <c r="AA18" s="114"/>
      <c r="AB18" s="114"/>
      <c r="AC18" s="114"/>
      <c r="AD18" s="107"/>
      <c r="AE18" s="119"/>
      <c r="AF18" s="36"/>
      <c r="AG18" s="107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4.25">
      <c r="A19" s="126">
        <v>1467</v>
      </c>
      <c r="B19" s="69">
        <v>31.173169062286107</v>
      </c>
      <c r="C19" s="68" t="s">
        <v>138</v>
      </c>
      <c r="D19" s="68" t="s">
        <v>27</v>
      </c>
      <c r="E19" s="111" t="s">
        <v>51</v>
      </c>
      <c r="F19" s="112" t="s">
        <v>51</v>
      </c>
      <c r="G19" s="113" t="s">
        <v>57</v>
      </c>
      <c r="H19" s="107">
        <v>13</v>
      </c>
      <c r="I19" s="1">
        <v>-1</v>
      </c>
      <c r="J19" s="1">
        <v>16</v>
      </c>
      <c r="K19" s="1">
        <v>-1</v>
      </c>
      <c r="L19" s="1">
        <v>16</v>
      </c>
      <c r="M19" s="1">
        <v>-1</v>
      </c>
      <c r="N19" s="11">
        <f t="shared" si="9"/>
        <v>-0.3431779024128257</v>
      </c>
      <c r="O19" s="11">
        <f t="shared" si="0"/>
        <v>-0.2530012720637377</v>
      </c>
      <c r="P19" s="6">
        <f t="shared" si="1"/>
        <v>-0.2530012720637377</v>
      </c>
      <c r="Q19" s="25" t="s">
        <v>102</v>
      </c>
      <c r="R19" s="310" t="s">
        <v>24</v>
      </c>
      <c r="S19" s="313">
        <f aca="true" t="shared" si="10" ref="S19:AE19">AVERAGE(S3:S16)</f>
        <v>13.23076923076923</v>
      </c>
      <c r="T19" s="311">
        <f t="shared" si="10"/>
        <v>2.563846153846154</v>
      </c>
      <c r="U19" s="311">
        <f t="shared" si="10"/>
        <v>2.769230769230769</v>
      </c>
      <c r="V19" s="311">
        <f t="shared" si="10"/>
        <v>0.4061538461538462</v>
      </c>
      <c r="W19" s="311">
        <f t="shared" si="10"/>
        <v>16</v>
      </c>
      <c r="X19" s="188">
        <f t="shared" si="10"/>
        <v>2.9700000000000006</v>
      </c>
      <c r="Y19" s="312">
        <f t="shared" si="10"/>
        <v>32.30769230769231</v>
      </c>
      <c r="Z19" s="311">
        <f t="shared" si="10"/>
        <v>12.461538461538462</v>
      </c>
      <c r="AA19" s="311">
        <f t="shared" si="10"/>
        <v>2.039230769230769</v>
      </c>
      <c r="AB19" s="311">
        <f t="shared" si="10"/>
        <v>2.923076923076923</v>
      </c>
      <c r="AC19" s="311">
        <f t="shared" si="10"/>
        <v>0.4823076923076925</v>
      </c>
      <c r="AD19" s="311">
        <f t="shared" si="10"/>
        <v>15.384615384615385</v>
      </c>
      <c r="AE19" s="188">
        <f t="shared" si="10"/>
        <v>2.5215384615384613</v>
      </c>
      <c r="AF19" s="36"/>
      <c r="AG19" s="107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13" customFormat="1" ht="14.25">
      <c r="A20" s="126">
        <v>1324</v>
      </c>
      <c r="B20" s="69">
        <v>49.73579739904175</v>
      </c>
      <c r="C20" s="288" t="s">
        <v>138</v>
      </c>
      <c r="D20" s="288" t="s">
        <v>26</v>
      </c>
      <c r="E20" s="289" t="s">
        <v>51</v>
      </c>
      <c r="F20" s="290" t="s">
        <v>51</v>
      </c>
      <c r="G20" s="291" t="s">
        <v>51</v>
      </c>
      <c r="H20" s="46">
        <v>20</v>
      </c>
      <c r="I20" s="4">
        <v>0</v>
      </c>
      <c r="J20" s="4">
        <v>20</v>
      </c>
      <c r="K20" s="4">
        <v>0</v>
      </c>
      <c r="L20" s="4">
        <v>20</v>
      </c>
      <c r="M20" s="4">
        <v>0</v>
      </c>
      <c r="N20" s="11">
        <f t="shared" si="9"/>
        <v>-0.17609125905568127</v>
      </c>
      <c r="O20" s="11">
        <f t="shared" si="0"/>
        <v>-0.17609125905568127</v>
      </c>
      <c r="P20" s="6">
        <f t="shared" si="1"/>
        <v>-0.17609125905568127</v>
      </c>
      <c r="Q20" s="25" t="s">
        <v>51</v>
      </c>
      <c r="R20" s="269" t="s">
        <v>74</v>
      </c>
      <c r="S20" s="121">
        <f aca="true" t="shared" si="11" ref="S20:AE20">STDEV(S3:S16)</f>
        <v>11.12170435195558</v>
      </c>
      <c r="T20" s="114">
        <f t="shared" si="11"/>
        <v>2.5313485814928054</v>
      </c>
      <c r="U20" s="114">
        <f t="shared" si="11"/>
        <v>3.8330546164003056</v>
      </c>
      <c r="V20" s="114">
        <f t="shared" si="11"/>
        <v>0.40760557858339935</v>
      </c>
      <c r="W20" s="114">
        <f t="shared" si="11"/>
        <v>12.013880860626733</v>
      </c>
      <c r="X20" s="115">
        <f t="shared" si="11"/>
        <v>2.522016389055921</v>
      </c>
      <c r="Y20" s="42">
        <f t="shared" si="11"/>
        <v>10.127393670836666</v>
      </c>
      <c r="Z20" s="114">
        <f t="shared" si="11"/>
        <v>15.00341841390035</v>
      </c>
      <c r="AA20" s="114">
        <f t="shared" si="11"/>
        <v>2.4896701974975906</v>
      </c>
      <c r="AB20" s="114">
        <f t="shared" si="11"/>
        <v>2.0599975105785306</v>
      </c>
      <c r="AC20" s="114">
        <f t="shared" si="11"/>
        <v>0.3465100731136551</v>
      </c>
      <c r="AD20" s="114">
        <f t="shared" si="11"/>
        <v>14.869086844515488</v>
      </c>
      <c r="AE20" s="115">
        <f t="shared" si="11"/>
        <v>2.5709040114126083</v>
      </c>
      <c r="AF20" s="37"/>
      <c r="AG20" s="4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13" customFormat="1" ht="14.25">
      <c r="A21" s="126">
        <v>1565</v>
      </c>
      <c r="B21" s="69">
        <v>66.45037645448323</v>
      </c>
      <c r="C21" s="288" t="s">
        <v>138</v>
      </c>
      <c r="D21" s="288" t="s">
        <v>27</v>
      </c>
      <c r="E21" s="289" t="s">
        <v>51</v>
      </c>
      <c r="F21" s="290" t="s">
        <v>57</v>
      </c>
      <c r="G21" s="291" t="s">
        <v>57</v>
      </c>
      <c r="H21" s="107">
        <v>30</v>
      </c>
      <c r="I21" s="1">
        <v>0</v>
      </c>
      <c r="J21" s="1">
        <v>35</v>
      </c>
      <c r="K21" s="1">
        <v>0</v>
      </c>
      <c r="L21" s="4">
        <v>32</v>
      </c>
      <c r="M21" s="4">
        <v>0</v>
      </c>
      <c r="N21" s="11">
        <v>0.17</v>
      </c>
      <c r="O21" s="11">
        <v>0.24</v>
      </c>
      <c r="P21" s="6">
        <v>0.2</v>
      </c>
      <c r="Q21" s="25" t="s">
        <v>102</v>
      </c>
      <c r="R21" s="269" t="s">
        <v>75</v>
      </c>
      <c r="S21" s="121">
        <f aca="true" t="shared" si="12" ref="S21:AE21">MEDIAN(S3:S16)</f>
        <v>8</v>
      </c>
      <c r="T21" s="114">
        <f t="shared" si="12"/>
        <v>1.1</v>
      </c>
      <c r="U21" s="114">
        <f t="shared" si="12"/>
        <v>2</v>
      </c>
      <c r="V21" s="114">
        <f t="shared" si="12"/>
        <v>0.44</v>
      </c>
      <c r="W21" s="114">
        <f t="shared" si="12"/>
        <v>8</v>
      </c>
      <c r="X21" s="115">
        <f t="shared" si="12"/>
        <v>1.54</v>
      </c>
      <c r="Y21" s="42">
        <f t="shared" si="12"/>
        <v>40</v>
      </c>
      <c r="Z21" s="114">
        <f t="shared" si="12"/>
        <v>5</v>
      </c>
      <c r="AA21" s="114">
        <f t="shared" si="12"/>
        <v>0.99</v>
      </c>
      <c r="AB21" s="114">
        <f t="shared" si="12"/>
        <v>3</v>
      </c>
      <c r="AC21" s="114">
        <f t="shared" si="12"/>
        <v>0.44</v>
      </c>
      <c r="AD21" s="114">
        <f t="shared" si="12"/>
        <v>10</v>
      </c>
      <c r="AE21" s="115">
        <f t="shared" si="12"/>
        <v>1.54</v>
      </c>
      <c r="AF21" s="37"/>
      <c r="AG21" s="46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145" ht="14.25">
      <c r="A22" s="125">
        <v>1579</v>
      </c>
      <c r="B22" s="70">
        <v>30.924024640657084</v>
      </c>
      <c r="C22" s="68" t="s">
        <v>138</v>
      </c>
      <c r="D22" s="68" t="s">
        <v>26</v>
      </c>
      <c r="E22" s="111" t="s">
        <v>51</v>
      </c>
      <c r="F22" s="112" t="s">
        <v>57</v>
      </c>
      <c r="G22" s="113" t="s">
        <v>57</v>
      </c>
      <c r="H22" s="107">
        <v>29</v>
      </c>
      <c r="I22" s="1">
        <v>0</v>
      </c>
      <c r="J22" s="1">
        <v>26</v>
      </c>
      <c r="K22" s="1">
        <v>0</v>
      </c>
      <c r="L22" s="1">
        <v>23</v>
      </c>
      <c r="M22" s="1">
        <v>0</v>
      </c>
      <c r="N22" s="11">
        <v>0.15</v>
      </c>
      <c r="O22" s="11">
        <v>0.11</v>
      </c>
      <c r="P22" s="6">
        <v>0.06</v>
      </c>
      <c r="Q22" s="25" t="s">
        <v>51</v>
      </c>
      <c r="R22" s="269" t="s">
        <v>322</v>
      </c>
      <c r="S22" s="121">
        <f aca="true" t="shared" si="13" ref="S22:AE22">MIN(S3:S16)</f>
        <v>3</v>
      </c>
      <c r="T22" s="114">
        <f t="shared" si="13"/>
        <v>0.33</v>
      </c>
      <c r="U22" s="114">
        <f t="shared" si="13"/>
        <v>0</v>
      </c>
      <c r="V22" s="114">
        <f t="shared" si="13"/>
        <v>0</v>
      </c>
      <c r="W22" s="114">
        <f t="shared" si="13"/>
        <v>4</v>
      </c>
      <c r="X22" s="115">
        <f t="shared" si="13"/>
        <v>0.66</v>
      </c>
      <c r="Y22" s="42">
        <f t="shared" si="13"/>
        <v>20</v>
      </c>
      <c r="Z22" s="114">
        <f t="shared" si="13"/>
        <v>0</v>
      </c>
      <c r="AA22" s="114">
        <f t="shared" si="13"/>
        <v>0</v>
      </c>
      <c r="AB22" s="114">
        <f t="shared" si="13"/>
        <v>0</v>
      </c>
      <c r="AC22" s="114">
        <f t="shared" si="13"/>
        <v>0</v>
      </c>
      <c r="AD22" s="114">
        <f t="shared" si="13"/>
        <v>2</v>
      </c>
      <c r="AE22" s="115">
        <f t="shared" si="13"/>
        <v>0.44</v>
      </c>
      <c r="AF22" s="37"/>
      <c r="AG22" s="46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</row>
    <row r="23" spans="1:145" ht="14.25">
      <c r="A23" s="125">
        <v>1580</v>
      </c>
      <c r="B23" s="70">
        <v>42.59000684462697</v>
      </c>
      <c r="C23" s="68" t="s">
        <v>138</v>
      </c>
      <c r="D23" s="68" t="s">
        <v>27</v>
      </c>
      <c r="E23" s="111" t="s">
        <v>51</v>
      </c>
      <c r="F23" s="112" t="s">
        <v>51</v>
      </c>
      <c r="G23" s="113" t="s">
        <v>51</v>
      </c>
      <c r="H23" s="107">
        <v>33</v>
      </c>
      <c r="I23" s="1">
        <v>0</v>
      </c>
      <c r="J23" s="1">
        <v>32</v>
      </c>
      <c r="K23" s="1">
        <v>1</v>
      </c>
      <c r="L23" s="1">
        <v>30</v>
      </c>
      <c r="M23" s="1">
        <v>2</v>
      </c>
      <c r="N23" s="11">
        <f>IF(H23="","",LOG10(H23/20)-I23*(0.1/5)+LOG10(2/3))</f>
        <v>0.041392685158225</v>
      </c>
      <c r="O23" s="11">
        <f>IF(J23="","",LOG10(J23/20)-K23*(0.1/5)+LOG10(2/3))</f>
        <v>0.008028723600243537</v>
      </c>
      <c r="P23" s="6">
        <f>IF(L23="","",LOG10(L23/20)-M23*(0.1/5)+LOG10(2/3))</f>
        <v>-0.040000000000000036</v>
      </c>
      <c r="Q23" s="25" t="s">
        <v>102</v>
      </c>
      <c r="R23" s="269" t="s">
        <v>323</v>
      </c>
      <c r="S23" s="121">
        <f aca="true" t="shared" si="14" ref="S23:AE23">MAX(S3:S16)</f>
        <v>30</v>
      </c>
      <c r="T23" s="114">
        <f t="shared" si="14"/>
        <v>6.6</v>
      </c>
      <c r="U23" s="114">
        <f t="shared" si="14"/>
        <v>14</v>
      </c>
      <c r="V23" s="114">
        <f t="shared" si="14"/>
        <v>1.54</v>
      </c>
      <c r="W23" s="114">
        <f t="shared" si="14"/>
        <v>32</v>
      </c>
      <c r="X23" s="115">
        <f t="shared" si="14"/>
        <v>7.04</v>
      </c>
      <c r="Y23" s="42">
        <f t="shared" si="14"/>
        <v>40</v>
      </c>
      <c r="Z23" s="114">
        <f t="shared" si="14"/>
        <v>44</v>
      </c>
      <c r="AA23" s="114">
        <f t="shared" si="14"/>
        <v>8.8</v>
      </c>
      <c r="AB23" s="114">
        <f t="shared" si="14"/>
        <v>6</v>
      </c>
      <c r="AC23" s="114">
        <f t="shared" si="14"/>
        <v>1.1</v>
      </c>
      <c r="AD23" s="114">
        <f t="shared" si="14"/>
        <v>45</v>
      </c>
      <c r="AE23" s="115">
        <f t="shared" si="14"/>
        <v>9.9</v>
      </c>
      <c r="AF23" s="37"/>
      <c r="AG23" s="46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35" ht="14.25">
      <c r="A24" s="299">
        <v>1595</v>
      </c>
      <c r="B24" s="70">
        <v>65.6125941136208</v>
      </c>
      <c r="C24" s="68" t="s">
        <v>137</v>
      </c>
      <c r="D24" s="68" t="s">
        <v>27</v>
      </c>
      <c r="E24" s="111" t="s">
        <v>51</v>
      </c>
      <c r="F24" s="112" t="s">
        <v>57</v>
      </c>
      <c r="G24" s="113" t="s">
        <v>51</v>
      </c>
      <c r="H24" s="107">
        <v>22.8</v>
      </c>
      <c r="I24" s="1">
        <v>0</v>
      </c>
      <c r="J24" s="1">
        <v>19.1</v>
      </c>
      <c r="K24" s="1">
        <v>0</v>
      </c>
      <c r="L24" s="1">
        <v>19.1</v>
      </c>
      <c r="M24" s="1">
        <v>0</v>
      </c>
      <c r="N24" s="11">
        <f>IF(H24="","",LOG10(H24/20)-I24*(0.1/5)+LOG10(2/3))</f>
        <v>-0.11918640771920863</v>
      </c>
      <c r="O24" s="11">
        <f>IF(J24="","",LOG10(J24/20)-K24*(0.1/5)+LOG10(2/3))</f>
        <v>-0.1960878874719349</v>
      </c>
      <c r="P24" s="6">
        <f>IF(L24="","",LOG10(L24/20)-M24*(0.1/5)+LOG10(2/3))</f>
        <v>-0.1960878874719349</v>
      </c>
      <c r="Q24" s="25" t="s">
        <v>102</v>
      </c>
      <c r="R24" s="269" t="s">
        <v>70</v>
      </c>
      <c r="S24" s="121">
        <f aca="true" t="shared" si="15" ref="S24:AE24">QUARTILE(S3:S16,1)</f>
        <v>4</v>
      </c>
      <c r="T24" s="114">
        <f t="shared" si="15"/>
        <v>0.88</v>
      </c>
      <c r="U24" s="114">
        <f t="shared" si="15"/>
        <v>1</v>
      </c>
      <c r="V24" s="114">
        <f t="shared" si="15"/>
        <v>0.22</v>
      </c>
      <c r="W24" s="114">
        <f t="shared" si="15"/>
        <v>6</v>
      </c>
      <c r="X24" s="115">
        <f t="shared" si="15"/>
        <v>0.88</v>
      </c>
      <c r="Y24" s="121">
        <f t="shared" si="15"/>
        <v>20</v>
      </c>
      <c r="Z24" s="114">
        <f t="shared" si="15"/>
        <v>3</v>
      </c>
      <c r="AA24" s="114">
        <f t="shared" si="15"/>
        <v>0.44</v>
      </c>
      <c r="AB24" s="114">
        <f t="shared" si="15"/>
        <v>1</v>
      </c>
      <c r="AC24" s="114">
        <f t="shared" si="15"/>
        <v>0.22</v>
      </c>
      <c r="AD24" s="114">
        <f t="shared" si="15"/>
        <v>6</v>
      </c>
      <c r="AE24" s="115">
        <f t="shared" si="15"/>
        <v>0.88</v>
      </c>
      <c r="AF24" s="37"/>
      <c r="AG24" s="46"/>
      <c r="AH24" s="3"/>
      <c r="AI24" s="3"/>
    </row>
    <row r="25" spans="1:35" ht="15" thickBot="1">
      <c r="A25" s="127">
        <v>1598</v>
      </c>
      <c r="B25" s="231">
        <v>45.503080082135526</v>
      </c>
      <c r="C25" s="232" t="s">
        <v>138</v>
      </c>
      <c r="D25" s="232" t="s">
        <v>26</v>
      </c>
      <c r="E25" s="233" t="s">
        <v>51</v>
      </c>
      <c r="F25" s="232" t="s">
        <v>51</v>
      </c>
      <c r="G25" s="113" t="s">
        <v>57</v>
      </c>
      <c r="H25" s="107">
        <v>23</v>
      </c>
      <c r="I25" s="107">
        <v>0</v>
      </c>
      <c r="J25" s="107">
        <v>25</v>
      </c>
      <c r="K25" s="52">
        <v>0</v>
      </c>
      <c r="L25" s="107">
        <v>18.2</v>
      </c>
      <c r="M25" s="107">
        <v>0</v>
      </c>
      <c r="N25" s="146">
        <f>IF(H25="","",LOG10(H25/20)-I25*(0.1/5)+LOG10(2/3))</f>
        <v>-0.11539341870206962</v>
      </c>
      <c r="O25" s="146">
        <f>IF(J25="","",LOG10(J25/20)-K25*(0.1/5)+LOG10(2/3))</f>
        <v>-0.07918124604762485</v>
      </c>
      <c r="P25" s="116">
        <f>IF(L25="","",LOG10(L25/20)-M25*(0.1/5)+LOG10(2/3))</f>
        <v>-0.2170498667345877</v>
      </c>
      <c r="Q25" s="139" t="s">
        <v>51</v>
      </c>
      <c r="R25" s="270" t="s">
        <v>71</v>
      </c>
      <c r="S25" s="122">
        <f aca="true" t="shared" si="16" ref="S25:AE25">QUARTILE(S3:S16,3)</f>
        <v>26</v>
      </c>
      <c r="T25" s="55">
        <f t="shared" si="16"/>
        <v>5.72</v>
      </c>
      <c r="U25" s="55">
        <f t="shared" si="16"/>
        <v>2</v>
      </c>
      <c r="V25" s="55">
        <f t="shared" si="16"/>
        <v>0.44</v>
      </c>
      <c r="W25" s="55">
        <f t="shared" si="16"/>
        <v>28</v>
      </c>
      <c r="X25" s="118">
        <f t="shared" si="16"/>
        <v>6.16</v>
      </c>
      <c r="Y25" s="122">
        <f t="shared" si="16"/>
        <v>40</v>
      </c>
      <c r="Z25" s="55">
        <f t="shared" si="16"/>
        <v>14</v>
      </c>
      <c r="AA25" s="55">
        <f t="shared" si="16"/>
        <v>2.97</v>
      </c>
      <c r="AB25" s="55">
        <f t="shared" si="16"/>
        <v>5</v>
      </c>
      <c r="AC25" s="55">
        <f t="shared" si="16"/>
        <v>0.66</v>
      </c>
      <c r="AD25" s="55">
        <f t="shared" si="16"/>
        <v>15</v>
      </c>
      <c r="AE25" s="118">
        <f t="shared" si="16"/>
        <v>3.3000000000000003</v>
      </c>
      <c r="AF25" s="37"/>
      <c r="AG25" s="46"/>
      <c r="AH25" s="3"/>
      <c r="AI25" s="3"/>
    </row>
    <row r="26" spans="7:35" ht="21" customHeight="1" thickBot="1">
      <c r="G26" s="246" t="s">
        <v>307</v>
      </c>
      <c r="H26" s="295" t="s">
        <v>308</v>
      </c>
      <c r="I26" s="295" t="s">
        <v>309</v>
      </c>
      <c r="J26" s="296" t="s">
        <v>4</v>
      </c>
      <c r="L26" s="246" t="s">
        <v>312</v>
      </c>
      <c r="M26" s="379" t="s">
        <v>311</v>
      </c>
      <c r="N26" s="379"/>
      <c r="O26" s="379"/>
      <c r="P26" s="283"/>
      <c r="Q26" s="377" t="s">
        <v>310</v>
      </c>
      <c r="R26" s="107"/>
      <c r="S26" s="114"/>
      <c r="T26" s="114"/>
      <c r="U26" s="114"/>
      <c r="V26" s="114"/>
      <c r="W26" s="114"/>
      <c r="X26" s="114"/>
      <c r="Y26" s="237"/>
      <c r="Z26" s="114"/>
      <c r="AA26" s="114"/>
      <c r="AB26" s="114"/>
      <c r="AC26" s="114"/>
      <c r="AD26" s="107"/>
      <c r="AE26" s="107"/>
      <c r="AF26" s="46"/>
      <c r="AG26" s="46"/>
      <c r="AH26" s="281"/>
      <c r="AI26" s="3"/>
    </row>
    <row r="27" spans="1:35" ht="15">
      <c r="A27" s="370" t="s">
        <v>329</v>
      </c>
      <c r="B27" s="300" t="s">
        <v>335</v>
      </c>
      <c r="C27" s="301">
        <f>COUNTIF(C3:C25,"m")</f>
        <v>14</v>
      </c>
      <c r="D27" s="300" t="s">
        <v>139</v>
      </c>
      <c r="E27" s="338">
        <f>COUNTIF(D3:D25,"l")</f>
        <v>10</v>
      </c>
      <c r="G27" s="244" t="s">
        <v>324</v>
      </c>
      <c r="H27" s="112">
        <f>MIN(H3:H25)</f>
        <v>13</v>
      </c>
      <c r="I27" s="112">
        <f>MIN(J3:J25)</f>
        <v>16</v>
      </c>
      <c r="J27" s="113">
        <f>MIN(L3:L25)</f>
        <v>16</v>
      </c>
      <c r="L27" s="341">
        <f>AVERAGE(L3:L25)</f>
        <v>26.013043478260872</v>
      </c>
      <c r="M27" s="247" t="s">
        <v>24</v>
      </c>
      <c r="N27" s="343">
        <f>AVERAGE(N3:N25)</f>
        <v>-0.03529266892972272</v>
      </c>
      <c r="O27" s="343">
        <f>AVERAGE(O3:O25)</f>
        <v>-0.027585021793192024</v>
      </c>
      <c r="P27" s="344">
        <f>AVERAGE(P3:P25)</f>
        <v>-0.06541718934651947</v>
      </c>
      <c r="Q27" s="378"/>
      <c r="R27" s="107"/>
      <c r="S27" s="114"/>
      <c r="T27" s="114"/>
      <c r="U27" s="114"/>
      <c r="V27" s="114"/>
      <c r="W27" s="114"/>
      <c r="X27" s="114"/>
      <c r="Y27" s="237"/>
      <c r="Z27" s="114"/>
      <c r="AA27" s="114"/>
      <c r="AB27" s="114"/>
      <c r="AC27" s="114"/>
      <c r="AD27" s="107"/>
      <c r="AE27" s="107"/>
      <c r="AF27" s="46"/>
      <c r="AG27" s="46"/>
      <c r="AH27" s="281"/>
      <c r="AI27" s="3"/>
    </row>
    <row r="28" spans="1:34" ht="15.75" thickBot="1">
      <c r="A28" s="370"/>
      <c r="B28" s="302" t="s">
        <v>143</v>
      </c>
      <c r="C28" s="291">
        <f>COUNTIF(C3:C25,"f")</f>
        <v>9</v>
      </c>
      <c r="D28" s="308" t="s">
        <v>140</v>
      </c>
      <c r="E28" s="339">
        <f>COUNTIF(D3:D25,"r")</f>
        <v>13</v>
      </c>
      <c r="G28" s="245" t="s">
        <v>325</v>
      </c>
      <c r="H28" s="340">
        <f>MAX(H3:H25)</f>
        <v>50</v>
      </c>
      <c r="I28" s="340">
        <f>MAX(J3:J25)</f>
        <v>50</v>
      </c>
      <c r="J28" s="339">
        <f>MAX(L3:L25)</f>
        <v>40</v>
      </c>
      <c r="L28" s="341">
        <f>STDEV(L3:L25)</f>
        <v>7.203048871379262</v>
      </c>
      <c r="M28" s="247" t="s">
        <v>74</v>
      </c>
      <c r="N28" s="343">
        <f>STDEV(N3:N25)</f>
        <v>0.18825139671083868</v>
      </c>
      <c r="O28" s="343">
        <f>STDEV(O3:O25)</f>
        <v>0.18477236340086559</v>
      </c>
      <c r="P28" s="344">
        <f>STDEV(P3:P25)</f>
        <v>0.13204121760886736</v>
      </c>
      <c r="Q28" s="378"/>
      <c r="X28" s="107"/>
      <c r="AE28" s="107"/>
      <c r="AF28" s="107"/>
      <c r="AG28" s="107"/>
      <c r="AH28" s="271"/>
    </row>
    <row r="29" spans="1:34" ht="15.75" thickBot="1">
      <c r="A29" s="370"/>
      <c r="B29" s="303" t="s">
        <v>119</v>
      </c>
      <c r="C29" s="304">
        <f>SUM(C27:C28)</f>
        <v>23</v>
      </c>
      <c r="D29" s="3"/>
      <c r="I29" s="1" t="s">
        <v>160</v>
      </c>
      <c r="L29" s="341">
        <f>MEDIAN(L3:L25)</f>
        <v>25</v>
      </c>
      <c r="M29" s="247" t="s">
        <v>75</v>
      </c>
      <c r="N29" s="343">
        <f>MEDIAN(N3:N25)</f>
        <v>-2.7755575615628914E-17</v>
      </c>
      <c r="O29" s="343">
        <f>MEDIAN(O3:O25)</f>
        <v>-2.7755575615628914E-17</v>
      </c>
      <c r="P29" s="344">
        <f>MEDIAN(P3:P25)</f>
        <v>-0.09918124604762485</v>
      </c>
      <c r="Q29" s="347">
        <f>COUNTIF(Q3:Q25,"yes")</f>
        <v>3</v>
      </c>
      <c r="AE29" s="107"/>
      <c r="AF29" s="107"/>
      <c r="AG29" s="107"/>
      <c r="AH29" s="271"/>
    </row>
    <row r="30" spans="1:34" ht="15">
      <c r="A30" s="370"/>
      <c r="B30" s="305" t="s">
        <v>142</v>
      </c>
      <c r="C30" s="306">
        <f>AVERAGE(B3:B25)</f>
        <v>45.93006576793739</v>
      </c>
      <c r="D30" s="3"/>
      <c r="L30" s="341">
        <f>MIN(L3:L25)</f>
        <v>16</v>
      </c>
      <c r="M30" s="247" t="s">
        <v>76</v>
      </c>
      <c r="N30" s="343">
        <f>MIN(N3:N25)</f>
        <v>-0.5760912590556813</v>
      </c>
      <c r="O30" s="343">
        <f>MIN(O3:O25)</f>
        <v>-0.5760912590556813</v>
      </c>
      <c r="P30" s="344">
        <f>MIN(P3:P25)</f>
        <v>-0.2530012720637377</v>
      </c>
      <c r="AE30" s="107"/>
      <c r="AF30" s="107"/>
      <c r="AG30" s="107"/>
      <c r="AH30" s="271"/>
    </row>
    <row r="31" spans="2:34" ht="15.75" thickBot="1">
      <c r="B31" s="302" t="s">
        <v>333</v>
      </c>
      <c r="C31" s="307">
        <f>MIN(B3:B25)</f>
        <v>15.980835044490075</v>
      </c>
      <c r="D31" s="3"/>
      <c r="L31" s="342">
        <f>MAX(L3:L25)</f>
        <v>40</v>
      </c>
      <c r="M31" s="249" t="s">
        <v>77</v>
      </c>
      <c r="N31" s="345">
        <f>MAX(N3:N25)</f>
        <v>0.22184874961635634</v>
      </c>
      <c r="O31" s="345">
        <f>MAX(O3:O25)</f>
        <v>0.24</v>
      </c>
      <c r="P31" s="346">
        <f>MAX(P3:P25)</f>
        <v>0.2</v>
      </c>
      <c r="AE31" s="107"/>
      <c r="AF31" s="107"/>
      <c r="AG31" s="107"/>
      <c r="AH31" s="271"/>
    </row>
    <row r="32" spans="2:34" ht="15.75" thickBot="1">
      <c r="B32" s="308" t="s">
        <v>141</v>
      </c>
      <c r="C32" s="309">
        <f>MAX(B3:B25)</f>
        <v>72.10130047912389</v>
      </c>
      <c r="AE32" s="107"/>
      <c r="AF32" s="107"/>
      <c r="AG32" s="107"/>
      <c r="AH32" s="271"/>
    </row>
    <row r="33" spans="31:34" ht="12.75">
      <c r="AE33" s="107"/>
      <c r="AF33" s="107"/>
      <c r="AG33" s="107"/>
      <c r="AH33" s="271"/>
    </row>
    <row r="34" spans="31:34" ht="12.75">
      <c r="AE34" s="107"/>
      <c r="AF34" s="107"/>
      <c r="AG34" s="107"/>
      <c r="AH34" s="271"/>
    </row>
    <row r="35" spans="19:34" ht="12.75">
      <c r="S35" s="16"/>
      <c r="T35" s="16"/>
      <c r="U35" s="16"/>
      <c r="V35" s="16"/>
      <c r="W35" s="16"/>
      <c r="X35" s="16"/>
      <c r="Y35" s="8"/>
      <c r="Z35" s="16"/>
      <c r="AA35" s="16"/>
      <c r="AB35" s="16"/>
      <c r="AC35" s="16"/>
      <c r="AE35" s="107"/>
      <c r="AF35" s="107"/>
      <c r="AG35" s="107"/>
      <c r="AH35" s="271"/>
    </row>
    <row r="40" ht="12.75">
      <c r="S40" s="1" t="s">
        <v>253</v>
      </c>
    </row>
  </sheetData>
  <mergeCells count="10">
    <mergeCell ref="A27:A30"/>
    <mergeCell ref="B1:G1"/>
    <mergeCell ref="AF1:AG1"/>
    <mergeCell ref="R1:X1"/>
    <mergeCell ref="Y1:AE1"/>
    <mergeCell ref="N1:P1"/>
    <mergeCell ref="Q26:Q28"/>
    <mergeCell ref="M26:O26"/>
    <mergeCell ref="H1:M1"/>
    <mergeCell ref="Q1:Q2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zoomScaleSheetLayoutView="100" workbookViewId="0" topLeftCell="A1">
      <pane xSplit="1" ySplit="2" topLeftCell="F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5" sqref="E15"/>
    </sheetView>
  </sheetViews>
  <sheetFormatPr defaultColWidth="9.140625" defaultRowHeight="12"/>
  <cols>
    <col min="1" max="1" width="32.140625" style="1" customWidth="1"/>
    <col min="2" max="2" width="17.00390625" style="1" customWidth="1"/>
    <col min="3" max="3" width="17.7109375" style="2" customWidth="1"/>
    <col min="4" max="4" width="19.28125" style="2" customWidth="1"/>
    <col min="5" max="5" width="19.00390625" style="2" customWidth="1"/>
    <col min="6" max="7" width="13.7109375" style="2" customWidth="1"/>
    <col min="8" max="9" width="16.140625" style="2" customWidth="1"/>
    <col min="10" max="10" width="19.140625" style="1" customWidth="1"/>
    <col min="11" max="11" width="14.00390625" style="1" customWidth="1"/>
    <col min="12" max="12" width="16.421875" style="1" customWidth="1"/>
    <col min="13" max="13" width="14.00390625" style="1" customWidth="1"/>
    <col min="14" max="14" width="14.421875" style="1" customWidth="1"/>
    <col min="15" max="15" width="15.140625" style="1" customWidth="1"/>
    <col min="16" max="17" width="12.00390625" style="1" customWidth="1"/>
    <col min="18" max="16384" width="12.00390625" style="2" customWidth="1"/>
  </cols>
  <sheetData>
    <row r="1" spans="1:17" ht="63">
      <c r="A1" s="59" t="s">
        <v>118</v>
      </c>
      <c r="B1" s="368" t="s">
        <v>25</v>
      </c>
      <c r="C1" s="368"/>
      <c r="D1" s="368"/>
      <c r="E1" s="368"/>
      <c r="F1" s="368"/>
      <c r="G1" s="369" t="s">
        <v>251</v>
      </c>
      <c r="H1" s="366"/>
      <c r="I1" s="367"/>
      <c r="J1" s="381" t="s">
        <v>2</v>
      </c>
      <c r="K1" s="381"/>
      <c r="L1" s="381"/>
      <c r="M1" s="381"/>
      <c r="N1" s="381"/>
      <c r="O1" s="381"/>
      <c r="P1" s="381"/>
      <c r="Q1" s="381"/>
    </row>
    <row r="2" spans="1:17" s="63" customFormat="1" ht="66.75" customHeight="1">
      <c r="A2" s="103" t="s">
        <v>55</v>
      </c>
      <c r="B2" s="104" t="s">
        <v>78</v>
      </c>
      <c r="C2" s="104" t="s">
        <v>144</v>
      </c>
      <c r="D2" s="104" t="s">
        <v>145</v>
      </c>
      <c r="E2" s="104" t="s">
        <v>146</v>
      </c>
      <c r="F2" s="104" t="s">
        <v>79</v>
      </c>
      <c r="G2" s="104" t="s">
        <v>129</v>
      </c>
      <c r="H2" s="104" t="s">
        <v>131</v>
      </c>
      <c r="I2" s="153" t="s">
        <v>130</v>
      </c>
      <c r="J2" s="184" t="s">
        <v>121</v>
      </c>
      <c r="K2" s="184" t="s">
        <v>122</v>
      </c>
      <c r="L2" s="184" t="s">
        <v>123</v>
      </c>
      <c r="M2" s="184" t="s">
        <v>124</v>
      </c>
      <c r="N2" s="184" t="s">
        <v>125</v>
      </c>
      <c r="O2" s="184" t="s">
        <v>126</v>
      </c>
      <c r="P2" s="184" t="s">
        <v>127</v>
      </c>
      <c r="Q2" s="184" t="s">
        <v>128</v>
      </c>
    </row>
    <row r="3" spans="1:17" ht="12.75">
      <c r="A3" s="36">
        <f>IF(Demography!A3="","",Demography!A3)</f>
        <v>970</v>
      </c>
      <c r="B3" s="145">
        <f>IF('Visit 1 - Neglect'!B3="","",'Visit 1 - Neglect'!B3)</f>
        <v>35896</v>
      </c>
      <c r="C3" s="145">
        <f>IF('Visit 2'!B4="","",'Visit 2'!B4)</f>
        <v>35915</v>
      </c>
      <c r="D3" s="145">
        <f>IF('Visit 3'!B4="","",'Visit 3'!B4)</f>
        <v>35930</v>
      </c>
      <c r="E3" s="145">
        <f>IF('Visit 4'!B4="","",'Visit 4'!B4)</f>
        <v>35942</v>
      </c>
      <c r="F3" s="145">
        <f>IF('Visit 5'!B4="","",'Visit 5'!B4)</f>
        <v>35972</v>
      </c>
      <c r="G3" s="10" t="str">
        <f>IF(C3="","No","Yes")</f>
        <v>Yes</v>
      </c>
      <c r="H3" s="46" t="str">
        <f>IF(F3="","No","Yes")</f>
        <v>Yes</v>
      </c>
      <c r="I3" s="146">
        <f aca="true" t="shared" si="0" ref="I3:I10">IF(H3="Yes",(F3-$C3)/7,"")</f>
        <v>8.142857142857142</v>
      </c>
      <c r="J3" s="37">
        <f>IF(G3="No","not suitable",IF(H3="No",IF(F3="",MAX(C3,D3,F3)-C3,#REF!-C3),F3-C3))</f>
        <v>57</v>
      </c>
      <c r="K3" s="107">
        <f aca="true" t="shared" si="1" ref="K3:K25">IF(G3="No","not suitable",MAX(C3,D3,F3)-C3)</f>
        <v>57</v>
      </c>
      <c r="L3" s="107">
        <f>IF(months_later!B4="","",months_later!G4)</f>
        <v>172</v>
      </c>
      <c r="M3" s="107">
        <f>IF(months_later!B4="","",months_later!D4*7)</f>
        <v>172</v>
      </c>
      <c r="N3" s="107">
        <f>IF(months_later!L4="","",months_later!R4)</f>
        <v>1321</v>
      </c>
      <c r="O3" s="107">
        <f>IF(months_later!L4="","",months_later!N4*7)</f>
        <v>1332</v>
      </c>
      <c r="P3" s="107">
        <f>MAX(J3,L3,N3)</f>
        <v>1321</v>
      </c>
      <c r="Q3" s="119">
        <f>MAX(K3,M3,O3)</f>
        <v>1332</v>
      </c>
    </row>
    <row r="4" spans="1:17" ht="12.75">
      <c r="A4" s="36">
        <f>IF(Demography!A4="","",Demography!A4)</f>
        <v>979</v>
      </c>
      <c r="B4" s="145">
        <f>IF('Visit 1 - Neglect'!B4="","",'Visit 1 - Neglect'!B4)</f>
        <v>35955</v>
      </c>
      <c r="C4" s="145">
        <f>IF('Visit 2'!B5="","",'Visit 2'!B5)</f>
        <v>35964</v>
      </c>
      <c r="D4" s="145">
        <f>IF('Visit 3'!B5="","",'Visit 3'!B5)</f>
        <v>35970</v>
      </c>
      <c r="E4" s="145">
        <f>IF('Visit 4'!B5="","",'Visit 4'!B5)</f>
        <v>35973</v>
      </c>
      <c r="F4" s="145">
        <f>IF('Visit 5'!B5="","",'Visit 5'!B5)</f>
        <v>36022</v>
      </c>
      <c r="G4" s="10" t="str">
        <f aca="true" t="shared" si="2" ref="G4:G25">IF(C4="","No","Yes")</f>
        <v>Yes</v>
      </c>
      <c r="H4" s="46" t="str">
        <f aca="true" t="shared" si="3" ref="H4:H25">IF(F4="","No","Yes")</f>
        <v>Yes</v>
      </c>
      <c r="I4" s="146">
        <f t="shared" si="0"/>
        <v>8.285714285714286</v>
      </c>
      <c r="J4" s="37">
        <f>IF(G4="No","not suitable",IF(H4="No",IF(F4="",MAX(C4,D4,F4)-C4,#REF!-C4),F4-C4))</f>
        <v>58</v>
      </c>
      <c r="K4" s="107">
        <f t="shared" si="1"/>
        <v>58</v>
      </c>
      <c r="L4" s="107">
        <f>IF(months_later!B5="","",months_later!G5)</f>
      </c>
      <c r="M4" s="107">
        <f>IF(months_later!B5="","",months_later!D5*7)</f>
      </c>
      <c r="N4" s="107">
        <f>IF(months_later!L5="","",months_later!R5)</f>
      </c>
      <c r="O4" s="107">
        <f>IF(months_later!L5="","",months_later!N5*7)</f>
      </c>
      <c r="P4" s="107">
        <f aca="true" t="shared" si="4" ref="P4:P25">MAX(J4,L4,N4)</f>
        <v>58</v>
      </c>
      <c r="Q4" s="119">
        <f aca="true" t="shared" si="5" ref="Q4:Q25">MAX(K4,M4,O4)</f>
        <v>58</v>
      </c>
    </row>
    <row r="5" spans="1:17" ht="12.75">
      <c r="A5" s="36">
        <f>IF(Demography!A5="","",Demography!A5)</f>
        <v>1035</v>
      </c>
      <c r="B5" s="145">
        <f>IF('Visit 1 - Neglect'!B5="","",'Visit 1 - Neglect'!B5)</f>
        <v>35950</v>
      </c>
      <c r="C5" s="145">
        <f>IF('Visit 2'!B6="","",'Visit 2'!B6)</f>
        <v>35963</v>
      </c>
      <c r="D5" s="145">
        <f>IF('Visit 3'!B6="","",'Visit 3'!B6)</f>
        <v>35973</v>
      </c>
      <c r="E5" s="145">
        <f>IF('Visit 4'!B6="","",'Visit 4'!B6)</f>
        <v>36000</v>
      </c>
      <c r="F5" s="145">
        <f>IF('Visit 5'!B6="","",'Visit 5'!B6)</f>
        <v>36049</v>
      </c>
      <c r="G5" s="10" t="str">
        <f t="shared" si="2"/>
        <v>Yes</v>
      </c>
      <c r="H5" s="46" t="str">
        <f t="shared" si="3"/>
        <v>Yes</v>
      </c>
      <c r="I5" s="146">
        <f t="shared" si="0"/>
        <v>12.285714285714286</v>
      </c>
      <c r="J5" s="37">
        <f>IF(G5="No","not suitable",IF(H5="No",IF(F5="",MAX(C5,D5,F5)-C5,#REF!-C5),F5-C5))</f>
        <v>86</v>
      </c>
      <c r="K5" s="107">
        <f t="shared" si="1"/>
        <v>86</v>
      </c>
      <c r="L5" s="107">
        <f>IF(months_later!B6="","",months_later!G6)</f>
        <v>179</v>
      </c>
      <c r="M5" s="107">
        <f>IF(months_later!B6="","",months_later!D6*7)</f>
        <v>179</v>
      </c>
      <c r="N5" s="107">
        <f>IF(months_later!L6="","",months_later!R6)</f>
        <v>1536</v>
      </c>
      <c r="O5" s="107">
        <f>IF(months_later!L6="","",months_later!N6*7)</f>
        <v>1536</v>
      </c>
      <c r="P5" s="107">
        <f t="shared" si="4"/>
        <v>1536</v>
      </c>
      <c r="Q5" s="119">
        <f t="shared" si="5"/>
        <v>1536</v>
      </c>
    </row>
    <row r="6" spans="1:17" ht="12.75">
      <c r="A6" s="37">
        <f>IF(Demography!A6="","",Demography!A6)</f>
        <v>1018</v>
      </c>
      <c r="B6" s="145">
        <f>IF('Visit 1 - Neglect'!B6="","",'Visit 1 - Neglect'!B6)</f>
        <v>35980</v>
      </c>
      <c r="C6" s="145">
        <f>IF('Visit 2'!B7="","",'Visit 2'!B7)</f>
        <v>36029</v>
      </c>
      <c r="D6" s="145">
        <f>IF('Visit 3'!B7="","",'Visit 3'!B7)</f>
        <v>36036</v>
      </c>
      <c r="E6" s="145">
        <f>IF('Visit 4'!B7="","",'Visit 4'!B7)</f>
        <v>36048</v>
      </c>
      <c r="F6" s="145">
        <f>IF('Visit 5'!B7="","",'Visit 5'!B7)</f>
        <v>36116</v>
      </c>
      <c r="G6" s="10" t="str">
        <f t="shared" si="2"/>
        <v>Yes</v>
      </c>
      <c r="H6" s="46" t="str">
        <f t="shared" si="3"/>
        <v>Yes</v>
      </c>
      <c r="I6" s="146">
        <f t="shared" si="0"/>
        <v>12.428571428571429</v>
      </c>
      <c r="J6" s="37">
        <f>IF(G6="No","not suitable",IF(H6="No",IF(F6="",MAX(C6,D6,F6)-C6,#REF!-C6),F6-C6))</f>
        <v>87</v>
      </c>
      <c r="K6" s="107">
        <f t="shared" si="1"/>
        <v>87</v>
      </c>
      <c r="L6" s="107">
        <f>IF(months_later!B7="","",months_later!G7)</f>
      </c>
      <c r="M6" s="107">
        <f>IF(months_later!B7="","",months_later!D7*7)</f>
      </c>
      <c r="N6" s="107">
        <f>IF(months_later!L7="","",months_later!R7)</f>
      </c>
      <c r="O6" s="107">
        <f>IF(months_later!L7="","",months_later!N7*7)</f>
      </c>
      <c r="P6" s="107">
        <f t="shared" si="4"/>
        <v>87</v>
      </c>
      <c r="Q6" s="119">
        <f t="shared" si="5"/>
        <v>87</v>
      </c>
    </row>
    <row r="7" spans="1:17" s="3" customFormat="1" ht="12.75">
      <c r="A7" s="314">
        <f>IF(Demography!A7="","",Demography!A7)</f>
        <v>1106</v>
      </c>
      <c r="B7" s="147">
        <f>IF('Visit 1 - Neglect'!B7="","",'Visit 1 - Neglect'!B7)</f>
        <v>35987</v>
      </c>
      <c r="C7" s="147">
        <f>IF('Visit 2'!B8="","",'Visit 2'!B8)</f>
        <v>36092</v>
      </c>
      <c r="D7" s="147">
        <f>IF('Visit 3'!B8="","",'Visit 3'!B8)</f>
      </c>
      <c r="E7" s="147">
        <f>IF('Visit 4'!B8="","",'Visit 4'!B8)</f>
      </c>
      <c r="F7" s="147">
        <f>IF('Visit 5'!B8="","",'Visit 5'!B8)</f>
      </c>
      <c r="G7" s="21" t="str">
        <f t="shared" si="2"/>
        <v>Yes</v>
      </c>
      <c r="H7" s="46" t="str">
        <f t="shared" si="3"/>
        <v>No</v>
      </c>
      <c r="I7" s="146">
        <f t="shared" si="0"/>
      </c>
      <c r="J7" s="37">
        <f>IF(G7="No","not suitable",IF(H7="No",IF(F7="",MAX(C7,D7,F7)-C7,#REF!-C7),F7-C7))</f>
        <v>0</v>
      </c>
      <c r="K7" s="46">
        <f t="shared" si="1"/>
        <v>0</v>
      </c>
      <c r="L7" s="46">
        <f>IF(months_later!B8="","",months_later!G8)</f>
      </c>
      <c r="M7" s="46">
        <f>IF(months_later!B8="","",months_later!D8*7)</f>
      </c>
      <c r="N7" s="46">
        <f>IF(months_later!L8="","",months_later!R8)</f>
      </c>
      <c r="O7" s="46">
        <f>IF(months_later!L8="","",months_later!N8*7)</f>
      </c>
      <c r="P7" s="46">
        <f t="shared" si="4"/>
        <v>0</v>
      </c>
      <c r="Q7" s="120">
        <f t="shared" si="5"/>
        <v>0</v>
      </c>
    </row>
    <row r="8" spans="1:17" ht="12.75">
      <c r="A8" s="37">
        <f>IF(Demography!A8="","",Demography!A8)</f>
        <v>1109</v>
      </c>
      <c r="B8" s="145">
        <f>IF('Visit 1 - Neglect'!B8="","",'Visit 1 - Neglect'!B8)</f>
        <v>36012</v>
      </c>
      <c r="C8" s="145">
        <f>IF('Visit 2'!B9="","",'Visit 2'!B9)</f>
        <v>36028</v>
      </c>
      <c r="D8" s="145">
        <f>IF('Visit 3'!B9="","",'Visit 3'!B9)</f>
        <v>36034</v>
      </c>
      <c r="E8" s="145">
        <f>IF('Visit 4'!B9="","",'Visit 4'!B9)</f>
        <v>36041</v>
      </c>
      <c r="F8" s="145">
        <f>IF('Visit 5'!B9="","",'Visit 5'!B9)</f>
        <v>36098</v>
      </c>
      <c r="G8" s="10" t="str">
        <f t="shared" si="2"/>
        <v>Yes</v>
      </c>
      <c r="H8" s="46" t="str">
        <f t="shared" si="3"/>
        <v>Yes</v>
      </c>
      <c r="I8" s="146">
        <f t="shared" si="0"/>
        <v>10</v>
      </c>
      <c r="J8" s="37">
        <f>IF(G8="No","not suitable",IF(H8="No",IF(F8="",MAX(C8,D8,F8)-C8,#REF!-C8),F8-C8))</f>
        <v>70</v>
      </c>
      <c r="K8" s="107">
        <f t="shared" si="1"/>
        <v>70</v>
      </c>
      <c r="L8" s="107">
        <f>IF(months_later!B9="","",months_later!G9)</f>
      </c>
      <c r="M8" s="107">
        <f>IF(months_later!B9="","",months_later!D9*7)</f>
      </c>
      <c r="N8" s="107">
        <f>IF(months_later!L9="","",months_later!R9)</f>
      </c>
      <c r="O8" s="107">
        <f>IF(months_later!L9="","",months_later!N9*7)</f>
      </c>
      <c r="P8" s="107">
        <f t="shared" si="4"/>
        <v>70</v>
      </c>
      <c r="Q8" s="119">
        <f t="shared" si="5"/>
        <v>70</v>
      </c>
    </row>
    <row r="9" spans="1:17" s="3" customFormat="1" ht="12.75">
      <c r="A9" s="314">
        <f>IF(Demography!A9="","",Demography!A9)</f>
        <v>1054</v>
      </c>
      <c r="B9" s="147">
        <f>IF('Visit 1 - Neglect'!B9="","",'Visit 1 - Neglect'!B9)</f>
        <v>36013</v>
      </c>
      <c r="C9" s="147">
        <f>IF('Visit 2'!B10="","",'Visit 2'!B10)</f>
        <v>36033</v>
      </c>
      <c r="D9" s="147">
        <f>IF('Visit 3'!B10="","",'Visit 3'!B10)</f>
        <v>36043</v>
      </c>
      <c r="E9" s="147">
        <f>IF('Visit 4'!B10="","",'Visit 4'!B10)</f>
        <v>36061</v>
      </c>
      <c r="F9" s="147">
        <f>IF('Visit 5'!B10="","",'Visit 5'!B10)</f>
      </c>
      <c r="G9" s="21" t="str">
        <f t="shared" si="2"/>
        <v>Yes</v>
      </c>
      <c r="H9" s="46" t="str">
        <f t="shared" si="3"/>
        <v>No</v>
      </c>
      <c r="I9" s="146">
        <f t="shared" si="0"/>
      </c>
      <c r="J9" s="37">
        <f>IF(G9="No","not suitable",IF(H9="No",IF(F9="",MAX(C9,D9,F9)-C9,#REF!-C9),F9-C9))</f>
        <v>10</v>
      </c>
      <c r="K9" s="46">
        <f t="shared" si="1"/>
        <v>10</v>
      </c>
      <c r="L9" s="46">
        <f>IF(months_later!B10="","",months_later!G10)</f>
      </c>
      <c r="M9" s="46">
        <f>IF(months_later!B10="","",months_later!D10*7)</f>
      </c>
      <c r="N9" s="46">
        <f>IF(months_later!L10="","",months_later!R10)</f>
      </c>
      <c r="O9" s="46">
        <f>IF(months_later!L10="","",months_later!N10*7)</f>
      </c>
      <c r="P9" s="46">
        <f t="shared" si="4"/>
        <v>10</v>
      </c>
      <c r="Q9" s="120">
        <f t="shared" si="5"/>
        <v>10</v>
      </c>
    </row>
    <row r="10" spans="1:17" ht="12.75">
      <c r="A10" s="36">
        <f>IF(Demography!A10="","",Demography!A10)</f>
        <v>1141</v>
      </c>
      <c r="B10" s="145">
        <f>IF('Visit 1 - Neglect'!B10="","",'Visit 1 - Neglect'!B10)</f>
        <v>36190</v>
      </c>
      <c r="C10" s="145">
        <f>IF('Visit 2'!B11="","",'Visit 2'!B11)</f>
        <v>36229</v>
      </c>
      <c r="D10" s="145">
        <f>IF('Visit 3'!B11="","",'Visit 3'!B11)</f>
        <v>36236</v>
      </c>
      <c r="E10" s="145">
        <f>IF('Visit 4'!B11="","",'Visit 4'!B11)</f>
        <v>36250</v>
      </c>
      <c r="F10" s="145">
        <f>IF('Visit 5'!B11="","",'Visit 5'!B11)</f>
        <v>36301</v>
      </c>
      <c r="G10" s="10" t="str">
        <f t="shared" si="2"/>
        <v>Yes</v>
      </c>
      <c r="H10" s="46" t="str">
        <f t="shared" si="3"/>
        <v>Yes</v>
      </c>
      <c r="I10" s="146">
        <f t="shared" si="0"/>
        <v>10.285714285714286</v>
      </c>
      <c r="J10" s="37">
        <f>IF(G10="No","not suitable",IF(H10="No",IF(F10="",MAX(C10,D10,F10)-C10,#REF!-C10),F10-C10))</f>
        <v>72</v>
      </c>
      <c r="K10" s="107">
        <f t="shared" si="1"/>
        <v>72</v>
      </c>
      <c r="L10" s="107">
        <f>IF(months_later!B11="","",months_later!G11)</f>
        <v>215</v>
      </c>
      <c r="M10" s="107">
        <f>IF(months_later!B11="","",months_later!D11*7)</f>
        <v>215</v>
      </c>
      <c r="N10" s="107">
        <f>IF(months_later!L11="","",months_later!R11)</f>
        <v>601</v>
      </c>
      <c r="O10" s="107">
        <f>IF(months_later!L11="","",months_later!N11*7)</f>
        <v>1091</v>
      </c>
      <c r="P10" s="107">
        <f t="shared" si="4"/>
        <v>601</v>
      </c>
      <c r="Q10" s="119">
        <f t="shared" si="5"/>
        <v>1091</v>
      </c>
    </row>
    <row r="11" spans="1:17" ht="12.75">
      <c r="A11" s="36">
        <f>IF(Demography!A11="","",Demography!A11)</f>
        <v>992</v>
      </c>
      <c r="B11" s="145">
        <f>IF('Visit 1 - Neglect'!B11="","",'Visit 1 - Neglect'!B11)</f>
        <v>36056</v>
      </c>
      <c r="C11" s="145">
        <f>IF('Visit 2'!B12="","",'Visit 2'!B12)</f>
        <v>36091</v>
      </c>
      <c r="D11" s="145">
        <f>IF('Visit 3'!B12="","",'Visit 3'!B12)</f>
        <v>36099</v>
      </c>
      <c r="E11" s="145">
        <f>IF('Visit 4'!B12="","",'Visit 4'!B12)</f>
        <v>36446</v>
      </c>
      <c r="F11" s="145">
        <f>IF('Visit 5'!B12="","",'Visit 5'!B12)</f>
        <v>36475</v>
      </c>
      <c r="G11" s="10" t="str">
        <f t="shared" si="2"/>
        <v>Yes</v>
      </c>
      <c r="H11" s="46" t="str">
        <f t="shared" si="3"/>
        <v>Yes</v>
      </c>
      <c r="I11" s="146">
        <f>IF(H11="Yes",((F11-$C11)-(E11-D11))/7,"")</f>
        <v>5.285714285714286</v>
      </c>
      <c r="J11" s="37">
        <f>IF(G11="No","not suitable",IF(H11="No",IF(F11="",MAX(C11,D11,F11)-C11,#REF!-C11),F11-C11))</f>
        <v>384</v>
      </c>
      <c r="K11" s="107">
        <f t="shared" si="1"/>
        <v>384</v>
      </c>
      <c r="L11" s="107">
        <f>IF(months_later!B12="","",months_later!G12)</f>
        <v>466</v>
      </c>
      <c r="M11" s="107">
        <f>IF(months_later!B12="","",months_later!D12*7)</f>
        <v>466</v>
      </c>
      <c r="N11" s="107">
        <f>IF(months_later!L12="","",months_later!R12)</f>
      </c>
      <c r="O11" s="107">
        <f>IF(months_later!L12="","",months_later!N12*7)</f>
      </c>
      <c r="P11" s="107">
        <f t="shared" si="4"/>
        <v>466</v>
      </c>
      <c r="Q11" s="119">
        <f t="shared" si="5"/>
        <v>466</v>
      </c>
    </row>
    <row r="12" spans="1:17" ht="12.75">
      <c r="A12" s="36">
        <f>IF(Demography!A12="","",Demography!A12)</f>
        <v>1163</v>
      </c>
      <c r="B12" s="145">
        <f>IF('Visit 1 - Neglect'!B12="","",'Visit 1 - Neglect'!B12)</f>
        <v>36214</v>
      </c>
      <c r="C12" s="145">
        <f>IF('Visit 2'!B13="","",'Visit 2'!B13)</f>
        <v>36232</v>
      </c>
      <c r="D12" s="145">
        <f>IF('Visit 3'!B13="","",'Visit 3'!B13)</f>
        <v>36239</v>
      </c>
      <c r="E12" s="145">
        <f>IF('Visit 4'!B13="","",'Visit 4'!B13)</f>
        <v>36253</v>
      </c>
      <c r="F12" s="145">
        <f>IF('Visit 5'!B13="","",'Visit 5'!B13)</f>
        <v>36302</v>
      </c>
      <c r="G12" s="10" t="str">
        <f t="shared" si="2"/>
        <v>Yes</v>
      </c>
      <c r="H12" s="46" t="str">
        <f t="shared" si="3"/>
        <v>Yes</v>
      </c>
      <c r="I12" s="146">
        <f aca="true" t="shared" si="6" ref="I12:I25">IF(H12="Yes",(F12-$C12)/7,"")</f>
        <v>10</v>
      </c>
      <c r="J12" s="37">
        <f>IF(G12="No","not suitable",IF(H12="No",IF(F12="",MAX(C12,D12,F12)-C12,#REF!-C12),F12-C12))</f>
        <v>70</v>
      </c>
      <c r="K12" s="107">
        <f t="shared" si="1"/>
        <v>70</v>
      </c>
      <c r="L12" s="107">
        <f>IF(months_later!B13="","",months_later!G13)</f>
      </c>
      <c r="M12" s="107">
        <f>IF(months_later!B13="","",months_later!D13*7)</f>
      </c>
      <c r="N12" s="107">
        <f>IF(months_later!L13="","",months_later!R13)</f>
      </c>
      <c r="O12" s="107">
        <f>IF(months_later!L13="","",months_later!N13*7)</f>
      </c>
      <c r="P12" s="107">
        <f t="shared" si="4"/>
        <v>70</v>
      </c>
      <c r="Q12" s="119">
        <f t="shared" si="5"/>
        <v>70</v>
      </c>
    </row>
    <row r="13" spans="1:17" ht="12.75">
      <c r="A13" s="36">
        <f>IF(Demography!A13="","",Demography!A13)</f>
        <v>1190</v>
      </c>
      <c r="B13" s="145">
        <f>IF('Visit 1 - Neglect'!B13="","",'Visit 1 - Neglect'!B13)</f>
        <v>36244</v>
      </c>
      <c r="C13" s="145">
        <f>IF('Visit 2'!B14="","",'Visit 2'!B14)</f>
        <v>36323</v>
      </c>
      <c r="D13" s="145">
        <f>IF('Visit 3'!B14="","",'Visit 3'!B14)</f>
        <v>36330</v>
      </c>
      <c r="E13" s="145">
        <f>IF('Visit 4'!B14="","",'Visit 4'!B14)</f>
        <v>36343</v>
      </c>
      <c r="F13" s="145">
        <f>IF('Visit 5'!B14="","",'Visit 5'!B14)</f>
        <v>36377</v>
      </c>
      <c r="G13" s="10" t="str">
        <f t="shared" si="2"/>
        <v>Yes</v>
      </c>
      <c r="H13" s="46" t="str">
        <f t="shared" si="3"/>
        <v>Yes</v>
      </c>
      <c r="I13" s="146">
        <f t="shared" si="6"/>
        <v>7.714285714285714</v>
      </c>
      <c r="J13" s="37">
        <f>IF(G13="No","not suitable",IF(H13="No",IF(F13="",MAX(C13,D13,F13)-C13,#REF!-C13),F13-C13))</f>
        <v>54</v>
      </c>
      <c r="K13" s="107">
        <f t="shared" si="1"/>
        <v>54</v>
      </c>
      <c r="L13" s="107">
        <f>IF(months_later!B14="","",months_later!G14)</f>
        <v>119</v>
      </c>
      <c r="M13" s="107">
        <f>IF(months_later!B14="","",months_later!D14*7)</f>
        <v>119</v>
      </c>
      <c r="N13" s="107">
        <f>IF(months_later!L14="","",months_later!R14)</f>
      </c>
      <c r="O13" s="107">
        <f>IF(months_later!L14="","",months_later!N14*7)</f>
      </c>
      <c r="P13" s="107">
        <f t="shared" si="4"/>
        <v>119</v>
      </c>
      <c r="Q13" s="119">
        <f t="shared" si="5"/>
        <v>119</v>
      </c>
    </row>
    <row r="14" spans="1:17" s="3" customFormat="1" ht="12.75">
      <c r="A14" s="37">
        <f>IF(Demography!A14="","",Demography!A14)</f>
        <v>1231</v>
      </c>
      <c r="B14" s="147">
        <f>IF('Visit 1 - Neglect'!B14="","",'Visit 1 - Neglect'!B14)</f>
        <v>36308</v>
      </c>
      <c r="C14" s="147">
        <f>IF('Visit 2'!B15="","",'Visit 2'!B15)</f>
        <v>36316</v>
      </c>
      <c r="D14" s="147">
        <f>IF('Visit 3'!B15="","",'Visit 3'!B15)</f>
        <v>36322</v>
      </c>
      <c r="E14" s="147">
        <f>IF('Visit 4'!B15="","",'Visit 4'!B15)</f>
        <v>36364</v>
      </c>
      <c r="F14" s="147">
        <f>IF('Visit 5'!B15="","",'Visit 5'!B15)</f>
        <v>36392</v>
      </c>
      <c r="G14" s="21" t="str">
        <f t="shared" si="2"/>
        <v>Yes</v>
      </c>
      <c r="H14" s="46" t="str">
        <f t="shared" si="3"/>
        <v>Yes</v>
      </c>
      <c r="I14" s="146">
        <f t="shared" si="6"/>
        <v>10.857142857142858</v>
      </c>
      <c r="J14" s="37">
        <f>IF(G14="No","not suitable",IF(H14="No",IF(F14="",MAX(C14,D14,F14)-C14,#REF!-C14),F14-C14))</f>
        <v>76</v>
      </c>
      <c r="K14" s="46">
        <f t="shared" si="1"/>
        <v>76</v>
      </c>
      <c r="L14" s="46">
        <f>IF(months_later!B15="","",months_later!G15)</f>
      </c>
      <c r="M14" s="46">
        <f>IF(months_later!B15="","",months_later!D15*7)</f>
      </c>
      <c r="N14" s="46">
        <f>IF(months_later!L15="","",months_later!R15)</f>
      </c>
      <c r="O14" s="46">
        <f>IF(months_later!L15="","",months_later!N15*7)</f>
      </c>
      <c r="P14" s="46">
        <f t="shared" si="4"/>
        <v>76</v>
      </c>
      <c r="Q14" s="120">
        <f t="shared" si="5"/>
        <v>76</v>
      </c>
    </row>
    <row r="15" spans="1:17" s="3" customFormat="1" ht="12.75">
      <c r="A15" s="314">
        <f>IF(Demography!A15="","",Demography!A15)</f>
        <v>1235</v>
      </c>
      <c r="B15" s="147">
        <f>IF('Visit 1 - Neglect'!B15="","",'Visit 1 - Neglect'!B15)</f>
        <v>36336</v>
      </c>
      <c r="C15" s="147">
        <f>IF('Visit 2'!B16="","",'Visit 2'!B16)</f>
        <v>36337</v>
      </c>
      <c r="D15" s="147">
        <f>IF('Visit 3'!B16="","",'Visit 3'!B16)</f>
        <v>36348</v>
      </c>
      <c r="E15" s="147">
        <f>IF('Visit 4'!B16="","",'Visit 4'!B16)</f>
      </c>
      <c r="F15" s="147">
        <f>IF('Visit 5'!B16="","",'Visit 5'!B16)</f>
      </c>
      <c r="G15" s="21" t="str">
        <f t="shared" si="2"/>
        <v>Yes</v>
      </c>
      <c r="H15" s="46" t="str">
        <f t="shared" si="3"/>
        <v>No</v>
      </c>
      <c r="I15" s="146">
        <f t="shared" si="6"/>
      </c>
      <c r="J15" s="37">
        <f>IF(G15="No","not suitable",IF(H15="No",IF(F15="",MAX(C15,D15,F15)-C15,#REF!-C15),F15-C15))</f>
        <v>11</v>
      </c>
      <c r="K15" s="46">
        <f t="shared" si="1"/>
        <v>11</v>
      </c>
      <c r="L15" s="46">
        <f>IF(months_later!B16="","",months_later!G16)</f>
      </c>
      <c r="M15" s="46">
        <f>IF(months_later!B16="","",months_later!D16*7)</f>
      </c>
      <c r="N15" s="46">
        <f>IF(months_later!L16="","",months_later!R16)</f>
      </c>
      <c r="O15" s="46">
        <f>IF(months_later!L16="","",months_later!N16*7)</f>
      </c>
      <c r="P15" s="46">
        <f t="shared" si="4"/>
        <v>11</v>
      </c>
      <c r="Q15" s="120">
        <f t="shared" si="5"/>
        <v>11</v>
      </c>
    </row>
    <row r="16" spans="1:17" ht="12.75">
      <c r="A16" s="37">
        <f>IF(Demography!A16="","",Demography!A16)</f>
        <v>1249</v>
      </c>
      <c r="B16" s="145">
        <f>IF('Visit 1 - Neglect'!B16="","",'Visit 1 - Neglect'!B16)</f>
        <v>36356</v>
      </c>
      <c r="C16" s="145">
        <f>IF('Visit 2'!B17="","",'Visit 2'!B17)</f>
        <v>36379</v>
      </c>
      <c r="D16" s="145">
        <f>IF('Visit 3'!B17="","",'Visit 3'!B17)</f>
        <v>36387</v>
      </c>
      <c r="E16" s="145">
        <f>IF('Visit 4'!B17="","",'Visit 4'!B17)</f>
        <v>36401</v>
      </c>
      <c r="F16" s="145">
        <f>IF('Visit 5'!B17="","",'Visit 5'!B17)</f>
        <v>36414</v>
      </c>
      <c r="G16" s="10" t="str">
        <f t="shared" si="2"/>
        <v>Yes</v>
      </c>
      <c r="H16" s="46" t="str">
        <f t="shared" si="3"/>
        <v>Yes</v>
      </c>
      <c r="I16" s="146">
        <f t="shared" si="6"/>
        <v>5</v>
      </c>
      <c r="J16" s="37">
        <f>IF(G16="No","not suitable",IF(H16="No",IF(F16="",MAX(C16,D16,F16)-C16,#REF!-C16),F16-C16))</f>
        <v>35</v>
      </c>
      <c r="K16" s="107">
        <f t="shared" si="1"/>
        <v>35</v>
      </c>
      <c r="L16" s="107">
        <f>IF(months_later!B17="","",months_later!G17)</f>
        <v>126</v>
      </c>
      <c r="M16" s="107">
        <f>IF(months_later!B17="","",months_later!D17*7)</f>
        <v>126</v>
      </c>
      <c r="N16" s="107">
        <f>IF(months_later!L17="","",months_later!R17)</f>
      </c>
      <c r="O16" s="107">
        <f>IF(months_later!L17="","",months_later!N17*7)</f>
      </c>
      <c r="P16" s="107">
        <f t="shared" si="4"/>
        <v>126</v>
      </c>
      <c r="Q16" s="119">
        <f t="shared" si="5"/>
        <v>126</v>
      </c>
    </row>
    <row r="17" spans="1:17" ht="12.75">
      <c r="A17" s="36">
        <f>IF(Demography!A17="","",Demography!A17)</f>
        <v>1308</v>
      </c>
      <c r="B17" s="145">
        <f>IF('Visit 1 - Neglect'!B17="","",'Visit 1 - Neglect'!B17)</f>
        <v>36573</v>
      </c>
      <c r="C17" s="145">
        <f>IF('Visit 2'!B18="","",'Visit 2'!B18)</f>
        <v>36635</v>
      </c>
      <c r="D17" s="145">
        <f>IF('Visit 3'!B18="","",'Visit 3'!B18)</f>
        <v>36647</v>
      </c>
      <c r="E17" s="145">
        <f>IF('Visit 4'!B18="","",'Visit 4'!B18)</f>
        <v>36665</v>
      </c>
      <c r="F17" s="145">
        <f>IF('Visit 5'!B18="","",'Visit 5'!B18)</f>
        <v>36727</v>
      </c>
      <c r="G17" s="10" t="str">
        <f t="shared" si="2"/>
        <v>Yes</v>
      </c>
      <c r="H17" s="46" t="str">
        <f t="shared" si="3"/>
        <v>Yes</v>
      </c>
      <c r="I17" s="146">
        <f t="shared" si="6"/>
        <v>13.142857142857142</v>
      </c>
      <c r="J17" s="37">
        <f>IF(G17="No","not suitable",IF(H17="No",IF(F17="",MAX(C17,D17,F17)-C17,#REF!-C17),F17-C17))</f>
        <v>92</v>
      </c>
      <c r="K17" s="107">
        <f t="shared" si="1"/>
        <v>92</v>
      </c>
      <c r="L17" s="107">
        <f>IF(months_later!B18="","",months_later!G18)</f>
        <v>185</v>
      </c>
      <c r="M17" s="107">
        <f>IF(months_later!B18="","",months_later!D18*7)</f>
        <v>185</v>
      </c>
      <c r="N17" s="107">
        <f>IF(months_later!L18="","",months_later!R18)</f>
        <v>376</v>
      </c>
      <c r="O17" s="107">
        <f>IF(months_later!L18="","",months_later!N18*7)</f>
        <v>612</v>
      </c>
      <c r="P17" s="107">
        <f t="shared" si="4"/>
        <v>376</v>
      </c>
      <c r="Q17" s="119">
        <f t="shared" si="5"/>
        <v>612</v>
      </c>
    </row>
    <row r="18" spans="1:17" ht="12.75">
      <c r="A18" s="36">
        <f>IF(Demography!A18="","",Demography!A18)</f>
        <v>1287</v>
      </c>
      <c r="B18" s="145">
        <f>IF('Visit 1 - Neglect'!B18="","",'Visit 1 - Neglect'!B18)</f>
        <v>36504</v>
      </c>
      <c r="C18" s="145">
        <f>IF('Visit 2'!B19="","",'Visit 2'!B19)</f>
        <v>36666</v>
      </c>
      <c r="D18" s="145">
        <f>IF('Visit 3'!B19="","",'Visit 3'!B19)</f>
        <v>36673</v>
      </c>
      <c r="E18" s="145">
        <f>IF('Visit 4'!B19="","",'Visit 4'!B19)</f>
        <v>36680</v>
      </c>
      <c r="F18" s="145">
        <f>IF('Visit 5'!B19="","",'Visit 5'!B19)</f>
        <v>36728</v>
      </c>
      <c r="G18" s="10" t="str">
        <f t="shared" si="2"/>
        <v>Yes</v>
      </c>
      <c r="H18" s="46" t="str">
        <f t="shared" si="3"/>
        <v>Yes</v>
      </c>
      <c r="I18" s="146">
        <f t="shared" si="6"/>
        <v>8.857142857142858</v>
      </c>
      <c r="J18" s="37">
        <f>IF(G18="No","not suitable",IF(H18="No",IF(F18="",MAX(C18,D18,F18)-C18,#REF!-C18),F18-C18))</f>
        <v>62</v>
      </c>
      <c r="K18" s="107">
        <f t="shared" si="1"/>
        <v>62</v>
      </c>
      <c r="L18" s="107">
        <f>IF(months_later!B19="","",months_later!G19)</f>
        <v>152</v>
      </c>
      <c r="M18" s="107">
        <f>IF(months_later!B19="","",months_later!D19*7)</f>
        <v>152</v>
      </c>
      <c r="N18" s="107">
        <f>IF(months_later!L19="","",months_later!R19)</f>
        <v>468</v>
      </c>
      <c r="O18" s="107">
        <f>IF(months_later!L19="","",months_later!N19*7)</f>
        <v>654</v>
      </c>
      <c r="P18" s="107">
        <f t="shared" si="4"/>
        <v>468</v>
      </c>
      <c r="Q18" s="119">
        <f t="shared" si="5"/>
        <v>654</v>
      </c>
    </row>
    <row r="19" spans="1:17" s="3" customFormat="1" ht="12.75">
      <c r="A19" s="37">
        <f>IF(Demography!A19="","",Demography!A19)</f>
        <v>1467</v>
      </c>
      <c r="B19" s="147">
        <f>IF('Visit 1 - Neglect'!B19="","",'Visit 1 - Neglect'!B19)</f>
        <v>36810</v>
      </c>
      <c r="C19" s="147">
        <f>IF('Visit 2'!B20="","",'Visit 2'!B20)</f>
        <v>36818</v>
      </c>
      <c r="D19" s="147">
        <f>IF('Visit 3'!B20="","",'Visit 3'!B20)</f>
        <v>36838</v>
      </c>
      <c r="E19" s="147">
        <f>IF('Visit 4'!B20="","",'Visit 4'!B20)</f>
      </c>
      <c r="F19" s="147">
        <f>IF('Visit 5'!B20="","",'Visit 5'!B20)</f>
        <v>36876</v>
      </c>
      <c r="G19" s="21" t="str">
        <f t="shared" si="2"/>
        <v>Yes</v>
      </c>
      <c r="H19" s="46" t="str">
        <f t="shared" si="3"/>
        <v>Yes</v>
      </c>
      <c r="I19" s="146">
        <f t="shared" si="6"/>
        <v>8.285714285714286</v>
      </c>
      <c r="J19" s="37">
        <f>IF(G19="No","not suitable",IF(H19="No",IF(F19="",MAX(C19,D19,F19)-C19,#REF!-C19),F19-C19))</f>
        <v>58</v>
      </c>
      <c r="K19" s="46">
        <f t="shared" si="1"/>
        <v>58</v>
      </c>
      <c r="L19" s="46">
        <f>IF(months_later!B20="","",months_later!G20)</f>
        <v>0</v>
      </c>
      <c r="M19" s="46">
        <f>IF(months_later!B20="","",months_later!D20*7)</f>
        <v>0</v>
      </c>
      <c r="N19" s="46">
        <f>IF(months_later!L20="","",months_later!R20)</f>
      </c>
      <c r="O19" s="46">
        <f>IF(months_later!L20="","",months_later!N20*7)</f>
      </c>
      <c r="P19" s="46">
        <f t="shared" si="4"/>
        <v>58</v>
      </c>
      <c r="Q19" s="120">
        <f t="shared" si="5"/>
        <v>58</v>
      </c>
    </row>
    <row r="20" spans="1:17" ht="12.75">
      <c r="A20" s="36">
        <f>IF(Demography!A20="","",Demography!A20)</f>
        <v>1324</v>
      </c>
      <c r="B20" s="145">
        <f>IF('Visit 1 - Neglect'!B20="","",'Visit 1 - Neglect'!B20)</f>
        <v>36794</v>
      </c>
      <c r="C20" s="145">
        <f>IF('Visit 2'!B21="","",'Visit 2'!B21)</f>
        <v>36834</v>
      </c>
      <c r="D20" s="145">
        <f>IF('Visit 3'!B21="","",'Visit 3'!B21)</f>
        <v>36846</v>
      </c>
      <c r="E20" s="145">
        <f>IF('Visit 4'!B21="","",'Visit 4'!B21)</f>
      </c>
      <c r="F20" s="145">
        <f>IF('Visit 5'!B21="","",'Visit 5'!B21)</f>
        <v>36895</v>
      </c>
      <c r="G20" s="10" t="str">
        <f t="shared" si="2"/>
        <v>Yes</v>
      </c>
      <c r="H20" s="46" t="str">
        <f t="shared" si="3"/>
        <v>Yes</v>
      </c>
      <c r="I20" s="146">
        <f t="shared" si="6"/>
        <v>8.714285714285714</v>
      </c>
      <c r="J20" s="37">
        <f>IF(G20="No","not suitable",IF(H20="No",IF(F20="",MAX(C20,D20,F20)-C20,#REF!-C20),F20-C20))</f>
        <v>61</v>
      </c>
      <c r="K20" s="107">
        <f t="shared" si="1"/>
        <v>61</v>
      </c>
      <c r="L20" s="107">
        <f>IF(months_later!B21="","",months_later!G21)</f>
        <v>413</v>
      </c>
      <c r="M20" s="107">
        <f>IF(months_later!B21="","",months_later!D21*7)</f>
        <v>413</v>
      </c>
      <c r="N20" s="107">
        <f>IF(months_later!L21="","",months_later!R21)</f>
        <v>726</v>
      </c>
      <c r="O20" s="107">
        <f>IF(months_later!L21="","",months_later!N21*7)</f>
        <v>726</v>
      </c>
      <c r="P20" s="107">
        <f t="shared" si="4"/>
        <v>726</v>
      </c>
      <c r="Q20" s="119">
        <f t="shared" si="5"/>
        <v>726</v>
      </c>
    </row>
    <row r="21" spans="1:17" ht="12.75">
      <c r="A21" s="36">
        <f>IF(Demography!A21="","",Demography!A21)</f>
        <v>1565</v>
      </c>
      <c r="B21" s="145">
        <f>IF('Visit 1 - Neglect'!B21="","",'Visit 1 - Neglect'!B21)</f>
        <v>37033</v>
      </c>
      <c r="C21" s="145">
        <f>IF('Visit 2'!B22="","",'Visit 2'!B22)</f>
        <v>37044</v>
      </c>
      <c r="D21" s="145">
        <f>IF('Visit 3'!B22="","",'Visit 3'!B22)</f>
        <v>37051</v>
      </c>
      <c r="E21" s="145">
        <f>IF('Visit 4'!B22="","",'Visit 4'!B22)</f>
      </c>
      <c r="F21" s="145">
        <f>IF('Visit 5'!B22="","",'Visit 5'!B22)</f>
        <v>37100</v>
      </c>
      <c r="G21" s="10" t="str">
        <f t="shared" si="2"/>
        <v>Yes</v>
      </c>
      <c r="H21" s="46" t="str">
        <f t="shared" si="3"/>
        <v>Yes</v>
      </c>
      <c r="I21" s="146">
        <f t="shared" si="6"/>
        <v>8</v>
      </c>
      <c r="J21" s="37">
        <f>IF(G21="No","not suitable",IF(H21="No",IF(F21="",MAX(C21,D21,F21)-C21,#REF!-C21),F21-C21))</f>
        <v>56</v>
      </c>
      <c r="K21" s="107">
        <f t="shared" si="1"/>
        <v>56</v>
      </c>
      <c r="L21" s="107">
        <f>IF(months_later!B22="","",months_later!G22)</f>
        <v>214</v>
      </c>
      <c r="M21" s="107">
        <f>IF(months_later!B22="","",months_later!D22*7)</f>
        <v>214</v>
      </c>
      <c r="N21" s="107">
        <f>IF(months_later!L22="","",months_later!R22)</f>
        <v>426</v>
      </c>
      <c r="O21" s="107">
        <f>IF(months_later!L22="","",months_later!N22*7)</f>
        <v>426</v>
      </c>
      <c r="P21" s="107">
        <f t="shared" si="4"/>
        <v>426</v>
      </c>
      <c r="Q21" s="119">
        <f t="shared" si="5"/>
        <v>426</v>
      </c>
    </row>
    <row r="22" spans="1:17" ht="12.75">
      <c r="A22" s="36">
        <f>IF(Demography!A22="","",Demography!A22)</f>
        <v>1579</v>
      </c>
      <c r="B22" s="145">
        <f>IF('Visit 1 - Neglect'!B22="","",'Visit 1 - Neglect'!B22)</f>
        <v>37054</v>
      </c>
      <c r="C22" s="145">
        <f>IF('Visit 2'!B23="","",'Visit 2'!B23)</f>
        <v>37058</v>
      </c>
      <c r="D22" s="145">
        <f>IF('Visit 3'!B23="","",'Visit 3'!B23)</f>
        <v>37072</v>
      </c>
      <c r="E22" s="145">
        <f>IF('Visit 4'!B23="","",'Visit 4'!B23)</f>
      </c>
      <c r="F22" s="145">
        <f>IF('Visit 5'!B23="","",'Visit 5'!B23)</f>
        <v>37142</v>
      </c>
      <c r="G22" s="10" t="str">
        <f t="shared" si="2"/>
        <v>Yes</v>
      </c>
      <c r="H22" s="46" t="str">
        <f t="shared" si="3"/>
        <v>Yes</v>
      </c>
      <c r="I22" s="146">
        <f t="shared" si="6"/>
        <v>12</v>
      </c>
      <c r="J22" s="37">
        <f>IF(G22="No","not suitable",IF(H22="No",IF(F22="",MAX(C22,D22,F22)-C22,#REF!-C22),F22-C22))</f>
        <v>84</v>
      </c>
      <c r="K22" s="107">
        <f t="shared" si="1"/>
        <v>84</v>
      </c>
      <c r="L22" s="107">
        <f>IF(months_later!B23="","",months_later!G23)</f>
        <v>189</v>
      </c>
      <c r="M22" s="107">
        <f>IF(months_later!B23="","",months_later!D23*7)</f>
        <v>189</v>
      </c>
      <c r="N22" s="107">
        <f>IF(months_later!L23="","",months_later!R23)</f>
        <v>374</v>
      </c>
      <c r="O22" s="107">
        <f>IF(months_later!L23="","",months_later!N23*7)</f>
        <v>475</v>
      </c>
      <c r="P22" s="107">
        <f t="shared" si="4"/>
        <v>374</v>
      </c>
      <c r="Q22" s="119">
        <f t="shared" si="5"/>
        <v>475</v>
      </c>
    </row>
    <row r="23" spans="1:17" ht="12.75">
      <c r="A23" s="36">
        <f>IF(Demography!A23="","",Demography!A23)</f>
        <v>1580</v>
      </c>
      <c r="B23" s="145">
        <f>IF('Visit 1 - Neglect'!B23="","",'Visit 1 - Neglect'!B23)</f>
        <v>37051</v>
      </c>
      <c r="C23" s="145">
        <f>IF('Visit 2'!B24="","",'Visit 2'!B24)</f>
        <v>37086</v>
      </c>
      <c r="D23" s="145">
        <f>IF('Visit 3'!B24="","",'Visit 3'!B24)</f>
        <v>37093</v>
      </c>
      <c r="E23" s="145">
        <f>IF('Visit 4'!B24="","",'Visit 4'!B24)</f>
      </c>
      <c r="F23" s="147">
        <f>IF('Visit 5'!B24="","",'Visit 5'!B24)</f>
        <v>37180</v>
      </c>
      <c r="G23" s="10" t="str">
        <f t="shared" si="2"/>
        <v>Yes</v>
      </c>
      <c r="H23" s="46" t="str">
        <f t="shared" si="3"/>
        <v>Yes</v>
      </c>
      <c r="I23" s="146">
        <f t="shared" si="6"/>
        <v>13.428571428571429</v>
      </c>
      <c r="J23" s="37">
        <f>IF(G23="No","not suitable",IF(H23="No",IF(F23="",MAX(C23,D23,F23)-C23,#REF!-C23),F23-C23))</f>
        <v>94</v>
      </c>
      <c r="K23" s="107">
        <f t="shared" si="1"/>
        <v>94</v>
      </c>
      <c r="L23" s="107">
        <f>IF(months_later!B24="","",months_later!G24)</f>
        <v>161</v>
      </c>
      <c r="M23" s="107">
        <f>IF(months_later!B24="","",months_later!D24*7)</f>
        <v>161</v>
      </c>
      <c r="N23" s="107">
        <f>IF(months_later!L24="","",months_later!R24)</f>
        <v>434</v>
      </c>
      <c r="O23" s="107">
        <f>IF(months_later!L24="","",months_later!N24*7)</f>
        <v>434</v>
      </c>
      <c r="P23" s="107">
        <f t="shared" si="4"/>
        <v>434</v>
      </c>
      <c r="Q23" s="119">
        <f t="shared" si="5"/>
        <v>434</v>
      </c>
    </row>
    <row r="24" spans="1:17" s="3" customFormat="1" ht="12.75">
      <c r="A24" s="314">
        <f>IF(Demography!A24="","",Demography!A24)</f>
        <v>1595</v>
      </c>
      <c r="B24" s="147">
        <f>IF('Visit 1 - Neglect'!B24="","",'Visit 1 - Neglect'!B24)</f>
        <v>37114</v>
      </c>
      <c r="C24" s="147">
        <f>IF('Visit 2'!B25="","",'Visit 2'!B25)</f>
        <v>37156</v>
      </c>
      <c r="D24" s="147">
        <f>IF('Visit 3'!B25="","",'Visit 3'!B25)</f>
      </c>
      <c r="E24" s="147" t="s">
        <v>50</v>
      </c>
      <c r="F24" s="147">
        <f>IF('Visit 5'!B25="","",'Visit 5'!B25)</f>
      </c>
      <c r="G24" s="21" t="str">
        <f t="shared" si="2"/>
        <v>Yes</v>
      </c>
      <c r="H24" s="46" t="str">
        <f t="shared" si="3"/>
        <v>No</v>
      </c>
      <c r="I24" s="146">
        <f t="shared" si="6"/>
      </c>
      <c r="J24" s="37">
        <f>IF(G24="No","not suitable",IF(H24="No",IF(F24="",MAX(C24,D24,F24)-C24,#REF!-C24),F24-C24))</f>
        <v>0</v>
      </c>
      <c r="K24" s="46">
        <f t="shared" si="1"/>
        <v>0</v>
      </c>
      <c r="L24" s="46">
        <f>IF(months_later!B25="","",months_later!G25)</f>
      </c>
      <c r="M24" s="46">
        <f>IF(months_later!B25="","",months_later!D25*7)</f>
      </c>
      <c r="N24" s="46">
        <f>IF(months_later!L25="","",months_later!R25)</f>
      </c>
      <c r="O24" s="46">
        <f>IF(months_later!L25="","",months_later!N25*7)</f>
      </c>
      <c r="P24" s="46">
        <f t="shared" si="4"/>
        <v>0</v>
      </c>
      <c r="Q24" s="120">
        <f t="shared" si="5"/>
        <v>0</v>
      </c>
    </row>
    <row r="25" spans="1:17" ht="13.5" thickBot="1">
      <c r="A25" s="36">
        <f>IF(Demography!A25="","",Demography!A25)</f>
        <v>1598</v>
      </c>
      <c r="B25" s="145">
        <f>IF('Visit 1 - Neglect'!B25="","",'Visit 1 - Neglect'!B25)</f>
        <v>37135</v>
      </c>
      <c r="C25" s="145">
        <f>IF('Visit 2'!B26="","",'Visit 2'!B26)</f>
        <v>37142</v>
      </c>
      <c r="D25" s="145">
        <f>IF('Visit 3'!B26="","",'Visit 3'!B26)</f>
        <v>37149</v>
      </c>
      <c r="E25" s="145" t="s">
        <v>50</v>
      </c>
      <c r="F25" s="145">
        <f>IF('Visit 5'!B26="","",'Visit 5'!B26)</f>
        <v>37177</v>
      </c>
      <c r="G25" s="10" t="str">
        <f t="shared" si="2"/>
        <v>Yes</v>
      </c>
      <c r="H25" s="46" t="str">
        <f t="shared" si="3"/>
        <v>Yes</v>
      </c>
      <c r="I25" s="106">
        <f t="shared" si="6"/>
        <v>5</v>
      </c>
      <c r="J25" s="56">
        <f>IF(G25="No","not suitable",IF(H25="No",IF(F25="",MAX(C25,D25,F25)-C25,#REF!-C25),F25-C25))</f>
        <v>35</v>
      </c>
      <c r="K25" s="52">
        <f t="shared" si="1"/>
        <v>35</v>
      </c>
      <c r="L25" s="52">
        <f>IF(months_later!B26="","",months_later!G26)</f>
        <v>105</v>
      </c>
      <c r="M25" s="52">
        <f>IF(months_later!B26="","",months_later!D26*7)</f>
        <v>105</v>
      </c>
      <c r="N25" s="52">
        <f>IF(months_later!L26="","",months_later!R26)</f>
        <v>234</v>
      </c>
      <c r="O25" s="52">
        <f>IF(months_later!L26="","",months_later!N26*7)</f>
        <v>356</v>
      </c>
      <c r="P25" s="52">
        <f t="shared" si="4"/>
        <v>234</v>
      </c>
      <c r="Q25" s="98">
        <f t="shared" si="5"/>
        <v>356</v>
      </c>
    </row>
    <row r="26" spans="1:11" ht="24" customHeight="1" thickBot="1">
      <c r="A26" s="318" t="s">
        <v>252</v>
      </c>
      <c r="B26" s="185">
        <f>COUNT(B3:B25)</f>
        <v>23</v>
      </c>
      <c r="C26" s="185">
        <f>COUNT(C3:C25)</f>
        <v>23</v>
      </c>
      <c r="D26" s="185">
        <f>COUNT(D3:D25)</f>
        <v>21</v>
      </c>
      <c r="E26" s="185">
        <f>COUNT(E3:E25)</f>
        <v>14</v>
      </c>
      <c r="F26" s="186">
        <f>COUNT(F3:F25)</f>
        <v>19</v>
      </c>
      <c r="G26" s="187">
        <f>COUNTIF(G3:G25,"Yes")</f>
        <v>23</v>
      </c>
      <c r="H26" s="186">
        <f>COUNTIF(H3:H25,"Yes")</f>
        <v>19</v>
      </c>
      <c r="I26" s="11"/>
      <c r="J26" s="4"/>
      <c r="K26" s="62"/>
    </row>
    <row r="27" spans="1:10" ht="13.5" thickBot="1">
      <c r="A27" s="1" t="s">
        <v>253</v>
      </c>
      <c r="C27" s="14"/>
      <c r="D27" s="97"/>
      <c r="E27" s="97"/>
      <c r="F27" s="1"/>
      <c r="G27" s="107"/>
      <c r="H27" s="1"/>
      <c r="I27" s="1"/>
      <c r="J27" s="4"/>
    </row>
    <row r="28" spans="1:9" ht="21.75" customHeight="1">
      <c r="A28" s="370" t="s">
        <v>329</v>
      </c>
      <c r="H28" s="360" t="s">
        <v>316</v>
      </c>
      <c r="I28" s="361"/>
    </row>
    <row r="29" spans="1:9" ht="12.75">
      <c r="A29" s="370"/>
      <c r="H29" s="250" t="s">
        <v>24</v>
      </c>
      <c r="I29" s="235">
        <f>AVERAGE(I3:I25)</f>
        <v>9.353383458646617</v>
      </c>
    </row>
    <row r="30" spans="1:9" ht="12.75">
      <c r="A30" s="370"/>
      <c r="H30" s="250" t="s">
        <v>74</v>
      </c>
      <c r="I30" s="235">
        <f>STDEV(I3:I25)</f>
        <v>2.61790815951183</v>
      </c>
    </row>
    <row r="31" spans="1:9" ht="12.75">
      <c r="A31" s="370"/>
      <c r="H31" s="250" t="s">
        <v>75</v>
      </c>
      <c r="I31" s="235">
        <f>MEDIAN(I3:I25)</f>
        <v>8.857142857142858</v>
      </c>
    </row>
    <row r="32" spans="8:9" ht="12.75">
      <c r="H32" s="250" t="s">
        <v>76</v>
      </c>
      <c r="I32" s="235">
        <f>MIN(I3:I25)</f>
        <v>5</v>
      </c>
    </row>
    <row r="33" spans="8:9" ht="13.5" thickBot="1">
      <c r="H33" s="251" t="s">
        <v>77</v>
      </c>
      <c r="I33" s="236">
        <f>MAX(I3:I25)</f>
        <v>13.428571428571429</v>
      </c>
    </row>
    <row r="36" ht="12.75">
      <c r="I36" s="3"/>
    </row>
    <row r="37" ht="12.75">
      <c r="I37" s="3"/>
    </row>
    <row r="41" spans="1:4" ht="12.75">
      <c r="A41" s="4"/>
      <c r="B41" s="4"/>
      <c r="C41" s="3"/>
      <c r="D41" s="3"/>
    </row>
    <row r="42" spans="1:4" ht="12.75">
      <c r="A42" s="4"/>
      <c r="B42" s="4"/>
      <c r="C42" s="3"/>
      <c r="D42" s="3"/>
    </row>
    <row r="43" spans="1:4" ht="12.75">
      <c r="A43" s="4"/>
      <c r="B43" s="4"/>
      <c r="C43" s="3"/>
      <c r="D43" s="3"/>
    </row>
    <row r="44" spans="1:4" ht="12.75">
      <c r="A44" s="4"/>
      <c r="B44" s="4"/>
      <c r="C44" s="3"/>
      <c r="D44" s="3"/>
    </row>
    <row r="45" spans="1:4" ht="12.75">
      <c r="A45" s="4"/>
      <c r="B45" s="4"/>
      <c r="C45" s="3"/>
      <c r="D45" s="3"/>
    </row>
    <row r="46" spans="1:4" ht="12.75">
      <c r="A46" s="4"/>
      <c r="B46" s="4"/>
      <c r="C46" s="3"/>
      <c r="D46" s="3"/>
    </row>
    <row r="47" spans="1:4" ht="12.75">
      <c r="A47" s="4"/>
      <c r="B47" s="4"/>
      <c r="C47" s="3"/>
      <c r="D47" s="3"/>
    </row>
    <row r="48" spans="1:4" ht="12.75">
      <c r="A48" s="4"/>
      <c r="B48" s="4"/>
      <c r="C48" s="3"/>
      <c r="D48" s="3"/>
    </row>
    <row r="49" spans="1:4" ht="12.75">
      <c r="A49" s="4"/>
      <c r="B49" s="4"/>
      <c r="C49" s="3"/>
      <c r="D49" s="3"/>
    </row>
    <row r="50" spans="1:4" ht="12.75">
      <c r="A50" s="4"/>
      <c r="B50" s="4"/>
      <c r="C50" s="3"/>
      <c r="D50" s="3"/>
    </row>
  </sheetData>
  <mergeCells count="5">
    <mergeCell ref="A28:A31"/>
    <mergeCell ref="J1:Q1"/>
    <mergeCell ref="B1:F1"/>
    <mergeCell ref="G1:I1"/>
    <mergeCell ref="H28:I28"/>
  </mergeCells>
  <printOptions/>
  <pageMargins left="0.75" right="0.75" top="1" bottom="1" header="0.5" footer="0.5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zoomScale="75" zoomScaleNormal="75" workbookViewId="0" topLeftCell="A1">
      <pane xSplit="1" ySplit="2" topLeftCell="L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8" sqref="E28"/>
    </sheetView>
  </sheetViews>
  <sheetFormatPr defaultColWidth="9.140625" defaultRowHeight="12"/>
  <cols>
    <col min="1" max="1" width="25.28125" style="2" customWidth="1"/>
    <col min="2" max="2" width="17.421875" style="2" customWidth="1"/>
    <col min="3" max="4" width="12.00390625" style="2" customWidth="1"/>
    <col min="5" max="5" width="15.140625" style="2" customWidth="1"/>
    <col min="6" max="6" width="12.00390625" style="2" customWidth="1"/>
    <col min="7" max="7" width="15.421875" style="2" customWidth="1"/>
    <col min="8" max="9" width="12.00390625" style="7" customWidth="1"/>
    <col min="10" max="10" width="15.28125" style="7" customWidth="1"/>
    <col min="11" max="12" width="15.8515625" style="9" customWidth="1"/>
    <col min="13" max="14" width="19.8515625" style="7" customWidth="1"/>
    <col min="15" max="15" width="12.00390625" style="2" customWidth="1"/>
    <col min="16" max="17" width="13.8515625" style="2" customWidth="1"/>
    <col min="18" max="18" width="13.28125" style="2" customWidth="1"/>
    <col min="19" max="20" width="13.8515625" style="2" customWidth="1"/>
    <col min="21" max="21" width="13.8515625" style="1" customWidth="1"/>
    <col min="22" max="22" width="12.00390625" style="1" customWidth="1"/>
    <col min="23" max="23" width="18.28125" style="1" customWidth="1"/>
    <col min="24" max="24" width="16.7109375" style="2" customWidth="1"/>
    <col min="25" max="25" width="10.7109375" style="2" bestFit="1" customWidth="1"/>
    <col min="26" max="33" width="12.00390625" style="2" customWidth="1"/>
    <col min="34" max="34" width="13.421875" style="2" customWidth="1"/>
    <col min="35" max="35" width="12.00390625" style="2" customWidth="1"/>
    <col min="36" max="38" width="12.00390625" style="9" customWidth="1"/>
    <col min="39" max="39" width="14.00390625" style="9" customWidth="1"/>
    <col min="40" max="41" width="12.00390625" style="9" customWidth="1"/>
    <col min="42" max="42" width="12.00390625" style="7" customWidth="1"/>
    <col min="43" max="46" width="12.00390625" style="9" customWidth="1"/>
    <col min="47" max="16384" width="12.00390625" style="2" customWidth="1"/>
  </cols>
  <sheetData>
    <row r="1" spans="1:52" s="19" customFormat="1" ht="96" customHeight="1">
      <c r="A1" s="48" t="s">
        <v>118</v>
      </c>
      <c r="B1" s="64" t="s">
        <v>244</v>
      </c>
      <c r="C1" s="365" t="s">
        <v>35</v>
      </c>
      <c r="D1" s="357"/>
      <c r="E1" s="357"/>
      <c r="F1" s="382" t="s">
        <v>81</v>
      </c>
      <c r="G1" s="383"/>
      <c r="H1" s="383"/>
      <c r="I1" s="383"/>
      <c r="J1" s="383"/>
      <c r="K1" s="383"/>
      <c r="L1" s="384"/>
      <c r="M1" s="363" t="s">
        <v>116</v>
      </c>
      <c r="N1" s="364"/>
      <c r="O1" s="358" t="s">
        <v>105</v>
      </c>
      <c r="P1" s="358"/>
      <c r="Q1" s="358"/>
      <c r="R1" s="358" t="s">
        <v>109</v>
      </c>
      <c r="S1" s="358"/>
      <c r="T1" s="358"/>
      <c r="U1" s="387" t="s">
        <v>111</v>
      </c>
      <c r="V1" s="387"/>
      <c r="W1" s="362" t="s">
        <v>112</v>
      </c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256" s="33" customFormat="1" ht="70.5" customHeight="1">
      <c r="A2" s="47" t="s">
        <v>55</v>
      </c>
      <c r="B2" s="28" t="s">
        <v>80</v>
      </c>
      <c r="C2" s="29" t="s">
        <v>36</v>
      </c>
      <c r="D2" s="29" t="s">
        <v>104</v>
      </c>
      <c r="E2" s="29" t="s">
        <v>248</v>
      </c>
      <c r="F2" s="30" t="s">
        <v>37</v>
      </c>
      <c r="G2" s="30" t="s">
        <v>38</v>
      </c>
      <c r="H2" s="31" t="s">
        <v>114</v>
      </c>
      <c r="I2" s="31" t="s">
        <v>115</v>
      </c>
      <c r="J2" s="30" t="s">
        <v>249</v>
      </c>
      <c r="K2" s="41" t="s">
        <v>113</v>
      </c>
      <c r="L2" s="41" t="s">
        <v>314</v>
      </c>
      <c r="M2" s="32" t="s">
        <v>39</v>
      </c>
      <c r="N2" s="49" t="s">
        <v>120</v>
      </c>
      <c r="O2" s="27" t="s">
        <v>107</v>
      </c>
      <c r="P2" s="27" t="s">
        <v>106</v>
      </c>
      <c r="Q2" s="27" t="s">
        <v>108</v>
      </c>
      <c r="R2" s="27" t="s">
        <v>117</v>
      </c>
      <c r="S2" s="27" t="s">
        <v>106</v>
      </c>
      <c r="T2" s="27" t="s">
        <v>108</v>
      </c>
      <c r="U2" s="27" t="s">
        <v>100</v>
      </c>
      <c r="V2" s="27" t="s">
        <v>110</v>
      </c>
      <c r="W2" s="36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52" ht="12.75">
      <c r="A3" s="4">
        <f>IF(Demography!A3="","",Demography!A3)</f>
        <v>970</v>
      </c>
      <c r="B3" s="326">
        <v>35896</v>
      </c>
      <c r="C3" s="35">
        <v>8</v>
      </c>
      <c r="D3" s="1">
        <v>8</v>
      </c>
      <c r="E3" s="1">
        <f>ABS(C3-D3)</f>
        <v>0</v>
      </c>
      <c r="F3" s="38" t="s">
        <v>26</v>
      </c>
      <c r="G3" s="1" t="s">
        <v>52</v>
      </c>
      <c r="H3" s="8">
        <v>0</v>
      </c>
      <c r="I3" s="8">
        <v>0</v>
      </c>
      <c r="J3" s="1">
        <f>ABS(H3-I3)</f>
        <v>0</v>
      </c>
      <c r="K3" s="6">
        <v>-7.2812</v>
      </c>
      <c r="L3" s="6">
        <f>ABS(K3)</f>
        <v>7.2812</v>
      </c>
      <c r="M3" s="42">
        <v>28</v>
      </c>
      <c r="N3" s="44" t="str">
        <f>IF(M3="","",IF(M3&gt;$N$26,"Pass","FAIL"))</f>
        <v>Pass</v>
      </c>
      <c r="O3" s="44" t="str">
        <f aca="true" t="shared" si="0" ref="O3:O25">IF(C3="","",IF((C3-D3)&gt;3,"FAIL",IF((D3-C3)&gt;3,"FAIL","Pass")))</f>
        <v>Pass</v>
      </c>
      <c r="P3" s="4" t="str">
        <f aca="true" t="shared" si="1" ref="P3:P25">IF(H3="","",IF((H3-I3)&gt;1,"FAIL",IF((I3-H3)&gt;1,"FAIL","Pass")))</f>
        <v>Pass</v>
      </c>
      <c r="Q3" s="4" t="str">
        <f aca="true" t="shared" si="2" ref="Q3:Q25">IF(K3="","",IF(K3&gt;10,"FAIL",IF(K3&lt;-10,"FAIL","Pass")))</f>
        <v>Pass</v>
      </c>
      <c r="R3" s="44" t="str">
        <f aca="true" t="shared" si="3" ref="R3:R25">IF(C3="","",IF(O3="PASS","None",IF((C3&gt;D3),"Right","Left")))</f>
        <v>None</v>
      </c>
      <c r="S3" s="45" t="str">
        <f aca="true" t="shared" si="4" ref="S3:S25">IF(H3="","",IF(P3="PASS","None",IF((H3&lt;I3),"Right","Left")))</f>
        <v>None</v>
      </c>
      <c r="T3" s="4" t="str">
        <f aca="true" t="shared" si="5" ref="T3:T22">IF(K3="","",IF(Q3="PASS","None",IF((K3&gt;10),"Right","Left")))</f>
        <v>None</v>
      </c>
      <c r="U3" s="44" t="str">
        <f aca="true" t="shared" si="6" ref="U3:U22">IF(R3="","",IF(COUNTIF(R3:T3,"Right")&gt;1,"FAIL",IF(COUNTIF(R3:T3,"Left")&gt;1,"FAIL","Pass")))</f>
        <v>Pass</v>
      </c>
      <c r="V3" s="4">
        <f aca="true" t="shared" si="7" ref="V3:V25">IF(R3="","",(3-COUNTIF(R3:T3,"None")))</f>
        <v>0</v>
      </c>
      <c r="W3" s="124" t="str">
        <f aca="true" t="shared" si="8" ref="W3:W25">IF(N3="","",IF(N3="FAIL","FAIL",IF(U3="FAIL","FAIL","Pass")))</f>
        <v>Pass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2.75">
      <c r="A4" s="4">
        <f>IF(Demography!A4="","",Demography!A4)</f>
        <v>979</v>
      </c>
      <c r="B4" s="327">
        <v>35955</v>
      </c>
      <c r="C4" s="36">
        <v>2</v>
      </c>
      <c r="D4" s="1">
        <v>1</v>
      </c>
      <c r="E4" s="1">
        <f aca="true" t="shared" si="9" ref="E4:E25">ABS(C4-D4)</f>
        <v>1</v>
      </c>
      <c r="F4" s="39" t="s">
        <v>26</v>
      </c>
      <c r="G4" s="1" t="s">
        <v>54</v>
      </c>
      <c r="H4" s="8">
        <v>0</v>
      </c>
      <c r="I4" s="8">
        <v>0</v>
      </c>
      <c r="J4" s="1">
        <f aca="true" t="shared" si="10" ref="J4:J25">ABS(H4-I4)</f>
        <v>0</v>
      </c>
      <c r="K4" s="6">
        <v>-8.81</v>
      </c>
      <c r="L4" s="6">
        <f aca="true" t="shared" si="11" ref="L4:L25">ABS(K4)</f>
        <v>8.81</v>
      </c>
      <c r="M4" s="43">
        <v>29</v>
      </c>
      <c r="N4" s="37" t="str">
        <f aca="true" t="shared" si="12" ref="N4:N25">IF(M4="","",IF(M4&gt;$N$26,"Pass","FAIL"))</f>
        <v>Pass</v>
      </c>
      <c r="O4" s="37" t="str">
        <f t="shared" si="0"/>
        <v>Pass</v>
      </c>
      <c r="P4" s="4" t="str">
        <f t="shared" si="1"/>
        <v>Pass</v>
      </c>
      <c r="Q4" s="4" t="str">
        <f t="shared" si="2"/>
        <v>Pass</v>
      </c>
      <c r="R4" s="37" t="str">
        <f t="shared" si="3"/>
        <v>None</v>
      </c>
      <c r="S4" s="46" t="str">
        <f t="shared" si="4"/>
        <v>None</v>
      </c>
      <c r="T4" s="4" t="str">
        <f t="shared" si="5"/>
        <v>None</v>
      </c>
      <c r="U4" s="37" t="str">
        <f t="shared" si="6"/>
        <v>Pass</v>
      </c>
      <c r="V4" s="4">
        <f t="shared" si="7"/>
        <v>0</v>
      </c>
      <c r="W4" s="25" t="str">
        <f t="shared" si="8"/>
        <v>Pass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2.75">
      <c r="A5" s="4">
        <f>IF(Demography!A5="","",Demography!A5)</f>
        <v>1035</v>
      </c>
      <c r="B5" s="327">
        <v>35950</v>
      </c>
      <c r="C5" s="36">
        <v>1</v>
      </c>
      <c r="D5" s="1">
        <v>0</v>
      </c>
      <c r="E5" s="1">
        <f t="shared" si="9"/>
        <v>1</v>
      </c>
      <c r="F5" s="39" t="s">
        <v>26</v>
      </c>
      <c r="G5" s="1" t="s">
        <v>52</v>
      </c>
      <c r="H5" s="8">
        <v>0</v>
      </c>
      <c r="I5" s="8">
        <v>0</v>
      </c>
      <c r="J5" s="1">
        <f t="shared" si="10"/>
        <v>0</v>
      </c>
      <c r="K5" s="6">
        <v>3.73</v>
      </c>
      <c r="L5" s="6">
        <f t="shared" si="11"/>
        <v>3.73</v>
      </c>
      <c r="M5" s="43">
        <v>28</v>
      </c>
      <c r="N5" s="37" t="str">
        <f t="shared" si="12"/>
        <v>Pass</v>
      </c>
      <c r="O5" s="37" t="str">
        <f t="shared" si="0"/>
        <v>Pass</v>
      </c>
      <c r="P5" s="4" t="str">
        <f t="shared" si="1"/>
        <v>Pass</v>
      </c>
      <c r="Q5" s="4" t="str">
        <f t="shared" si="2"/>
        <v>Pass</v>
      </c>
      <c r="R5" s="37" t="str">
        <f t="shared" si="3"/>
        <v>None</v>
      </c>
      <c r="S5" s="46" t="str">
        <f t="shared" si="4"/>
        <v>None</v>
      </c>
      <c r="T5" s="4" t="str">
        <f t="shared" si="5"/>
        <v>None</v>
      </c>
      <c r="U5" s="37" t="str">
        <f t="shared" si="6"/>
        <v>Pass</v>
      </c>
      <c r="V5" s="4">
        <f t="shared" si="7"/>
        <v>0</v>
      </c>
      <c r="W5" s="25" t="str">
        <f t="shared" si="8"/>
        <v>Pass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12.75">
      <c r="A6" s="4">
        <f>IF(Demography!A6="","",Demography!A6)</f>
        <v>1018</v>
      </c>
      <c r="B6" s="327">
        <v>35980</v>
      </c>
      <c r="C6" s="36">
        <v>0</v>
      </c>
      <c r="D6" s="1">
        <v>0</v>
      </c>
      <c r="E6" s="1">
        <f t="shared" si="9"/>
        <v>0</v>
      </c>
      <c r="F6" s="39" t="s">
        <v>26</v>
      </c>
      <c r="G6" s="1" t="s">
        <v>54</v>
      </c>
      <c r="H6" s="8">
        <v>0</v>
      </c>
      <c r="I6" s="8">
        <v>0</v>
      </c>
      <c r="J6" s="1">
        <f t="shared" si="10"/>
        <v>0</v>
      </c>
      <c r="K6" s="6">
        <v>2.957</v>
      </c>
      <c r="L6" s="6">
        <f t="shared" si="11"/>
        <v>2.957</v>
      </c>
      <c r="M6" s="42">
        <v>27</v>
      </c>
      <c r="N6" s="37" t="str">
        <f t="shared" si="12"/>
        <v>Pass</v>
      </c>
      <c r="O6" s="37" t="str">
        <f t="shared" si="0"/>
        <v>Pass</v>
      </c>
      <c r="P6" s="4" t="str">
        <f t="shared" si="1"/>
        <v>Pass</v>
      </c>
      <c r="Q6" s="4" t="str">
        <f t="shared" si="2"/>
        <v>Pass</v>
      </c>
      <c r="R6" s="37" t="str">
        <f t="shared" si="3"/>
        <v>None</v>
      </c>
      <c r="S6" s="46" t="str">
        <f t="shared" si="4"/>
        <v>None</v>
      </c>
      <c r="T6" s="4" t="str">
        <f t="shared" si="5"/>
        <v>None</v>
      </c>
      <c r="U6" s="37" t="str">
        <f t="shared" si="6"/>
        <v>Pass</v>
      </c>
      <c r="V6" s="4">
        <f t="shared" si="7"/>
        <v>0</v>
      </c>
      <c r="W6" s="25" t="str">
        <f t="shared" si="8"/>
        <v>Pass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ht="12.75">
      <c r="A7" s="315">
        <f>IF(Demography!A7="","",Demography!A7)</f>
        <v>1106</v>
      </c>
      <c r="B7" s="327">
        <v>35987</v>
      </c>
      <c r="C7" s="36">
        <v>0</v>
      </c>
      <c r="D7" s="1">
        <v>0</v>
      </c>
      <c r="E7" s="1">
        <f t="shared" si="9"/>
        <v>0</v>
      </c>
      <c r="F7" s="39" t="s">
        <v>26</v>
      </c>
      <c r="G7" s="1" t="s">
        <v>14</v>
      </c>
      <c r="H7" s="8">
        <v>0</v>
      </c>
      <c r="I7" s="8">
        <v>0</v>
      </c>
      <c r="J7" s="1">
        <f t="shared" si="10"/>
        <v>0</v>
      </c>
      <c r="K7" s="6">
        <v>-2.414</v>
      </c>
      <c r="L7" s="6">
        <f t="shared" si="11"/>
        <v>2.414</v>
      </c>
      <c r="M7" s="42">
        <v>28</v>
      </c>
      <c r="N7" s="37" t="str">
        <f t="shared" si="12"/>
        <v>Pass</v>
      </c>
      <c r="O7" s="37" t="str">
        <f t="shared" si="0"/>
        <v>Pass</v>
      </c>
      <c r="P7" s="4" t="str">
        <f t="shared" si="1"/>
        <v>Pass</v>
      </c>
      <c r="Q7" s="4" t="str">
        <f t="shared" si="2"/>
        <v>Pass</v>
      </c>
      <c r="R7" s="37" t="str">
        <f t="shared" si="3"/>
        <v>None</v>
      </c>
      <c r="S7" s="46" t="str">
        <f t="shared" si="4"/>
        <v>None</v>
      </c>
      <c r="T7" s="4" t="str">
        <f t="shared" si="5"/>
        <v>None</v>
      </c>
      <c r="U7" s="37" t="str">
        <f t="shared" si="6"/>
        <v>Pass</v>
      </c>
      <c r="V7" s="4">
        <f t="shared" si="7"/>
        <v>0</v>
      </c>
      <c r="W7" s="25" t="str">
        <f t="shared" si="8"/>
        <v>Pass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ht="12.75">
      <c r="A8" s="4">
        <f>IF(Demography!A8="","",Demography!A8)</f>
        <v>1109</v>
      </c>
      <c r="B8" s="327">
        <v>36012</v>
      </c>
      <c r="C8" s="36">
        <v>0</v>
      </c>
      <c r="D8" s="1">
        <v>0</v>
      </c>
      <c r="E8" s="1">
        <f t="shared" si="9"/>
        <v>0</v>
      </c>
      <c r="F8" s="39" t="s">
        <v>26</v>
      </c>
      <c r="G8" s="1" t="s">
        <v>54</v>
      </c>
      <c r="H8" s="8">
        <v>0</v>
      </c>
      <c r="I8" s="8">
        <v>0</v>
      </c>
      <c r="J8" s="1">
        <f t="shared" si="10"/>
        <v>0</v>
      </c>
      <c r="K8" s="6">
        <v>0.39</v>
      </c>
      <c r="L8" s="6">
        <f t="shared" si="11"/>
        <v>0.39</v>
      </c>
      <c r="M8" s="42">
        <v>28</v>
      </c>
      <c r="N8" s="37" t="str">
        <f t="shared" si="12"/>
        <v>Pass</v>
      </c>
      <c r="O8" s="37" t="str">
        <f t="shared" si="0"/>
        <v>Pass</v>
      </c>
      <c r="P8" s="4" t="str">
        <f t="shared" si="1"/>
        <v>Pass</v>
      </c>
      <c r="Q8" s="4" t="str">
        <f t="shared" si="2"/>
        <v>Pass</v>
      </c>
      <c r="R8" s="37" t="str">
        <f t="shared" si="3"/>
        <v>None</v>
      </c>
      <c r="S8" s="46" t="str">
        <f t="shared" si="4"/>
        <v>None</v>
      </c>
      <c r="T8" s="4" t="str">
        <f t="shared" si="5"/>
        <v>None</v>
      </c>
      <c r="U8" s="37" t="str">
        <f t="shared" si="6"/>
        <v>Pass</v>
      </c>
      <c r="V8" s="4">
        <f t="shared" si="7"/>
        <v>0</v>
      </c>
      <c r="W8" s="25" t="str">
        <f t="shared" si="8"/>
        <v>Pass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ht="12.75">
      <c r="A9" s="315">
        <f>IF(Demography!A9="","",Demography!A9)</f>
        <v>1054</v>
      </c>
      <c r="B9" s="327">
        <v>36013</v>
      </c>
      <c r="C9" s="36">
        <v>2</v>
      </c>
      <c r="D9" s="1">
        <v>1</v>
      </c>
      <c r="E9" s="1">
        <f t="shared" si="9"/>
        <v>1</v>
      </c>
      <c r="F9" s="39" t="s">
        <v>27</v>
      </c>
      <c r="G9" s="1" t="s">
        <v>54</v>
      </c>
      <c r="H9" s="5">
        <v>1</v>
      </c>
      <c r="I9" s="5">
        <v>2</v>
      </c>
      <c r="J9" s="1">
        <f t="shared" si="10"/>
        <v>1</v>
      </c>
      <c r="K9" s="6">
        <v>-5.21</v>
      </c>
      <c r="L9" s="6">
        <f t="shared" si="11"/>
        <v>5.21</v>
      </c>
      <c r="M9" s="43">
        <v>27</v>
      </c>
      <c r="N9" s="37" t="str">
        <f t="shared" si="12"/>
        <v>Pass</v>
      </c>
      <c r="O9" s="37" t="str">
        <f t="shared" si="0"/>
        <v>Pass</v>
      </c>
      <c r="P9" s="4" t="str">
        <f t="shared" si="1"/>
        <v>Pass</v>
      </c>
      <c r="Q9" s="4" t="str">
        <f t="shared" si="2"/>
        <v>Pass</v>
      </c>
      <c r="R9" s="37" t="str">
        <f t="shared" si="3"/>
        <v>None</v>
      </c>
      <c r="S9" s="46" t="str">
        <f t="shared" si="4"/>
        <v>None</v>
      </c>
      <c r="T9" s="4" t="str">
        <f t="shared" si="5"/>
        <v>None</v>
      </c>
      <c r="U9" s="37" t="str">
        <f t="shared" si="6"/>
        <v>Pass</v>
      </c>
      <c r="V9" s="4">
        <f t="shared" si="7"/>
        <v>0</v>
      </c>
      <c r="W9" s="25" t="str">
        <f t="shared" si="8"/>
        <v>Pass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ht="12.75">
      <c r="A10" s="4">
        <f>IF(Demography!A10="","",Demography!A10)</f>
        <v>1141</v>
      </c>
      <c r="B10" s="327">
        <v>36190</v>
      </c>
      <c r="C10" s="36">
        <v>2</v>
      </c>
      <c r="D10" s="1">
        <v>1</v>
      </c>
      <c r="E10" s="1">
        <f t="shared" si="9"/>
        <v>1</v>
      </c>
      <c r="F10" s="39" t="s">
        <v>26</v>
      </c>
      <c r="G10" s="1" t="s">
        <v>54</v>
      </c>
      <c r="H10" s="8">
        <v>0</v>
      </c>
      <c r="I10" s="8">
        <v>0</v>
      </c>
      <c r="J10" s="1">
        <f t="shared" si="10"/>
        <v>0</v>
      </c>
      <c r="K10" s="6">
        <v>-0.16</v>
      </c>
      <c r="L10" s="6">
        <f t="shared" si="11"/>
        <v>0.16</v>
      </c>
      <c r="M10" s="42">
        <v>28</v>
      </c>
      <c r="N10" s="37" t="str">
        <f t="shared" si="12"/>
        <v>Pass</v>
      </c>
      <c r="O10" s="37" t="str">
        <f t="shared" si="0"/>
        <v>Pass</v>
      </c>
      <c r="P10" s="4" t="str">
        <f t="shared" si="1"/>
        <v>Pass</v>
      </c>
      <c r="Q10" s="4" t="str">
        <f t="shared" si="2"/>
        <v>Pass</v>
      </c>
      <c r="R10" s="37" t="str">
        <f t="shared" si="3"/>
        <v>None</v>
      </c>
      <c r="S10" s="46" t="str">
        <f t="shared" si="4"/>
        <v>None</v>
      </c>
      <c r="T10" s="4" t="str">
        <f t="shared" si="5"/>
        <v>None</v>
      </c>
      <c r="U10" s="37" t="str">
        <f t="shared" si="6"/>
        <v>Pass</v>
      </c>
      <c r="V10" s="4">
        <v>0</v>
      </c>
      <c r="W10" s="25" t="str">
        <f t="shared" si="8"/>
        <v>Pass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ht="12.75">
      <c r="A11" s="4">
        <f>IF(Demography!A11="","",Demography!A11)</f>
        <v>992</v>
      </c>
      <c r="B11" s="327">
        <v>36056</v>
      </c>
      <c r="C11" s="36">
        <v>0</v>
      </c>
      <c r="D11" s="1">
        <v>0</v>
      </c>
      <c r="E11" s="1">
        <f t="shared" si="9"/>
        <v>0</v>
      </c>
      <c r="F11" s="39" t="s">
        <v>26</v>
      </c>
      <c r="G11" s="1" t="s">
        <v>14</v>
      </c>
      <c r="H11" s="5">
        <v>0</v>
      </c>
      <c r="I11" s="5">
        <v>0</v>
      </c>
      <c r="J11" s="4">
        <f t="shared" si="10"/>
        <v>0</v>
      </c>
      <c r="K11" s="6">
        <v>3.95</v>
      </c>
      <c r="L11" s="6">
        <f t="shared" si="11"/>
        <v>3.95</v>
      </c>
      <c r="M11" s="42">
        <v>30</v>
      </c>
      <c r="N11" s="37" t="str">
        <f t="shared" si="12"/>
        <v>Pass</v>
      </c>
      <c r="O11" s="37" t="str">
        <f t="shared" si="0"/>
        <v>Pass</v>
      </c>
      <c r="P11" s="4" t="str">
        <f t="shared" si="1"/>
        <v>Pass</v>
      </c>
      <c r="Q11" s="4" t="str">
        <f t="shared" si="2"/>
        <v>Pass</v>
      </c>
      <c r="R11" s="37" t="str">
        <f t="shared" si="3"/>
        <v>None</v>
      </c>
      <c r="S11" s="46" t="str">
        <f t="shared" si="4"/>
        <v>None</v>
      </c>
      <c r="T11" s="4" t="str">
        <f t="shared" si="5"/>
        <v>None</v>
      </c>
      <c r="U11" s="37" t="str">
        <f t="shared" si="6"/>
        <v>Pass</v>
      </c>
      <c r="V11" s="4">
        <f t="shared" si="7"/>
        <v>0</v>
      </c>
      <c r="W11" s="25" t="str">
        <f t="shared" si="8"/>
        <v>Pass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ht="12.75">
      <c r="A12" s="4">
        <f>IF(Demography!A12="","",Demography!A12)</f>
        <v>1163</v>
      </c>
      <c r="B12" s="327">
        <v>36214</v>
      </c>
      <c r="C12" s="36">
        <v>0</v>
      </c>
      <c r="D12" s="1">
        <v>0</v>
      </c>
      <c r="E12" s="1">
        <f t="shared" si="9"/>
        <v>0</v>
      </c>
      <c r="F12" s="39" t="s">
        <v>26</v>
      </c>
      <c r="G12" s="1" t="s">
        <v>54</v>
      </c>
      <c r="H12" s="5">
        <v>0</v>
      </c>
      <c r="I12" s="5">
        <v>0</v>
      </c>
      <c r="J12" s="4">
        <f t="shared" si="10"/>
        <v>0</v>
      </c>
      <c r="K12" s="6">
        <v>-5.79</v>
      </c>
      <c r="L12" s="6">
        <f t="shared" si="11"/>
        <v>5.79</v>
      </c>
      <c r="M12" s="42">
        <v>29</v>
      </c>
      <c r="N12" s="37" t="str">
        <f t="shared" si="12"/>
        <v>Pass</v>
      </c>
      <c r="O12" s="37" t="str">
        <f t="shared" si="0"/>
        <v>Pass</v>
      </c>
      <c r="P12" s="4" t="str">
        <f t="shared" si="1"/>
        <v>Pass</v>
      </c>
      <c r="Q12" s="4" t="str">
        <f t="shared" si="2"/>
        <v>Pass</v>
      </c>
      <c r="R12" s="37" t="str">
        <f t="shared" si="3"/>
        <v>None</v>
      </c>
      <c r="S12" s="46" t="str">
        <f t="shared" si="4"/>
        <v>None</v>
      </c>
      <c r="T12" s="4" t="str">
        <f t="shared" si="5"/>
        <v>None</v>
      </c>
      <c r="U12" s="37" t="str">
        <f t="shared" si="6"/>
        <v>Pass</v>
      </c>
      <c r="V12" s="4">
        <f t="shared" si="7"/>
        <v>0</v>
      </c>
      <c r="W12" s="25" t="str">
        <f t="shared" si="8"/>
        <v>Pass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ht="12.75">
      <c r="A13" s="4">
        <f>IF(Demography!A13="","",Demography!A13)</f>
        <v>1190</v>
      </c>
      <c r="B13" s="327">
        <v>36244</v>
      </c>
      <c r="C13" s="36">
        <v>1</v>
      </c>
      <c r="D13" s="1">
        <v>0</v>
      </c>
      <c r="E13" s="1">
        <f t="shared" si="9"/>
        <v>1</v>
      </c>
      <c r="F13" s="39" t="s">
        <v>26</v>
      </c>
      <c r="G13" s="1" t="s">
        <v>54</v>
      </c>
      <c r="H13" s="5">
        <v>5</v>
      </c>
      <c r="I13" s="5">
        <v>1</v>
      </c>
      <c r="J13" s="4">
        <f t="shared" si="10"/>
        <v>4</v>
      </c>
      <c r="K13" s="6">
        <v>-10.63</v>
      </c>
      <c r="L13" s="6">
        <f t="shared" si="11"/>
        <v>10.63</v>
      </c>
      <c r="M13" s="42">
        <v>28</v>
      </c>
      <c r="N13" s="37" t="str">
        <f t="shared" si="12"/>
        <v>Pass</v>
      </c>
      <c r="O13" s="37" t="str">
        <f t="shared" si="0"/>
        <v>Pass</v>
      </c>
      <c r="P13" s="4" t="str">
        <f t="shared" si="1"/>
        <v>FAIL</v>
      </c>
      <c r="Q13" s="4" t="str">
        <f t="shared" si="2"/>
        <v>FAIL</v>
      </c>
      <c r="R13" s="37" t="str">
        <f t="shared" si="3"/>
        <v>None</v>
      </c>
      <c r="S13" s="46" t="str">
        <f t="shared" si="4"/>
        <v>Left</v>
      </c>
      <c r="T13" s="4" t="str">
        <f t="shared" si="5"/>
        <v>Left</v>
      </c>
      <c r="U13" s="37" t="str">
        <f t="shared" si="6"/>
        <v>FAIL</v>
      </c>
      <c r="V13" s="4">
        <f t="shared" si="7"/>
        <v>2</v>
      </c>
      <c r="W13" s="25" t="str">
        <f t="shared" si="8"/>
        <v>FAIL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ht="12.75">
      <c r="A14" s="4">
        <f>IF(Demography!A14="","",Demography!A14)</f>
        <v>1231</v>
      </c>
      <c r="B14" s="328">
        <v>36308</v>
      </c>
      <c r="C14" s="36">
        <v>0</v>
      </c>
      <c r="D14" s="1">
        <v>0</v>
      </c>
      <c r="E14" s="1">
        <f t="shared" si="9"/>
        <v>0</v>
      </c>
      <c r="F14" s="39" t="s">
        <v>26</v>
      </c>
      <c r="G14" s="1" t="s">
        <v>82</v>
      </c>
      <c r="H14" s="5">
        <v>0</v>
      </c>
      <c r="I14" s="5">
        <v>0</v>
      </c>
      <c r="J14" s="4">
        <f t="shared" si="10"/>
        <v>0</v>
      </c>
      <c r="K14" s="6">
        <v>0.45</v>
      </c>
      <c r="L14" s="6">
        <f t="shared" si="11"/>
        <v>0.45</v>
      </c>
      <c r="M14" s="42">
        <v>30</v>
      </c>
      <c r="N14" s="37" t="str">
        <f t="shared" si="12"/>
        <v>Pass</v>
      </c>
      <c r="O14" s="37" t="str">
        <f t="shared" si="0"/>
        <v>Pass</v>
      </c>
      <c r="P14" s="4" t="str">
        <f t="shared" si="1"/>
        <v>Pass</v>
      </c>
      <c r="Q14" s="4" t="str">
        <f t="shared" si="2"/>
        <v>Pass</v>
      </c>
      <c r="R14" s="37" t="str">
        <f t="shared" si="3"/>
        <v>None</v>
      </c>
      <c r="S14" s="46" t="str">
        <f t="shared" si="4"/>
        <v>None</v>
      </c>
      <c r="T14" s="4" t="str">
        <f t="shared" si="5"/>
        <v>None</v>
      </c>
      <c r="U14" s="37" t="str">
        <f t="shared" si="6"/>
        <v>Pass</v>
      </c>
      <c r="V14" s="4">
        <f t="shared" si="7"/>
        <v>0</v>
      </c>
      <c r="W14" s="25" t="str">
        <f t="shared" si="8"/>
        <v>Pass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" customFormat="1" ht="12.75">
      <c r="A15" s="315">
        <f>IF(Demography!A15="","",Demography!A15)</f>
        <v>1235</v>
      </c>
      <c r="B15" s="328">
        <v>36336</v>
      </c>
      <c r="C15" s="37">
        <v>0</v>
      </c>
      <c r="D15" s="4">
        <v>0</v>
      </c>
      <c r="E15" s="1">
        <f t="shared" si="9"/>
        <v>0</v>
      </c>
      <c r="F15" s="40" t="s">
        <v>26</v>
      </c>
      <c r="G15" s="4" t="s">
        <v>54</v>
      </c>
      <c r="H15" s="5">
        <v>0</v>
      </c>
      <c r="I15" s="5">
        <v>0</v>
      </c>
      <c r="J15" s="4">
        <f t="shared" si="10"/>
        <v>0</v>
      </c>
      <c r="K15" s="6">
        <v>0.66</v>
      </c>
      <c r="L15" s="6">
        <f t="shared" si="11"/>
        <v>0.66</v>
      </c>
      <c r="M15" s="43">
        <v>30</v>
      </c>
      <c r="N15" s="37" t="str">
        <f t="shared" si="12"/>
        <v>Pass</v>
      </c>
      <c r="O15" s="37" t="str">
        <f t="shared" si="0"/>
        <v>Pass</v>
      </c>
      <c r="P15" s="4" t="str">
        <f t="shared" si="1"/>
        <v>Pass</v>
      </c>
      <c r="Q15" s="4" t="str">
        <f t="shared" si="2"/>
        <v>Pass</v>
      </c>
      <c r="R15" s="37" t="str">
        <f t="shared" si="3"/>
        <v>None</v>
      </c>
      <c r="S15" s="46" t="str">
        <f t="shared" si="4"/>
        <v>None</v>
      </c>
      <c r="T15" s="4" t="str">
        <f t="shared" si="5"/>
        <v>None</v>
      </c>
      <c r="U15" s="37" t="str">
        <f t="shared" si="6"/>
        <v>Pass</v>
      </c>
      <c r="V15" s="4">
        <f t="shared" si="7"/>
        <v>0</v>
      </c>
      <c r="W15" s="25" t="str">
        <f t="shared" si="8"/>
        <v>Pass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ht="12.75">
      <c r="A16" s="4">
        <f>IF(Demography!A16="","",Demography!A16)</f>
        <v>1249</v>
      </c>
      <c r="B16" s="327">
        <v>36356</v>
      </c>
      <c r="C16" s="36">
        <v>2</v>
      </c>
      <c r="D16" s="1">
        <v>2</v>
      </c>
      <c r="E16" s="1">
        <f t="shared" si="9"/>
        <v>0</v>
      </c>
      <c r="F16" s="39" t="s">
        <v>26</v>
      </c>
      <c r="G16" s="1" t="s">
        <v>54</v>
      </c>
      <c r="H16" s="5">
        <v>0</v>
      </c>
      <c r="I16" s="5">
        <v>1</v>
      </c>
      <c r="J16" s="4">
        <f t="shared" si="10"/>
        <v>1</v>
      </c>
      <c r="K16" s="6">
        <v>3.45</v>
      </c>
      <c r="L16" s="6">
        <f t="shared" si="11"/>
        <v>3.45</v>
      </c>
      <c r="M16" s="42">
        <v>24</v>
      </c>
      <c r="N16" s="37" t="str">
        <f t="shared" si="12"/>
        <v>Pass</v>
      </c>
      <c r="O16" s="37" t="str">
        <f t="shared" si="0"/>
        <v>Pass</v>
      </c>
      <c r="P16" s="4" t="str">
        <f t="shared" si="1"/>
        <v>Pass</v>
      </c>
      <c r="Q16" s="4" t="str">
        <f t="shared" si="2"/>
        <v>Pass</v>
      </c>
      <c r="R16" s="37" t="str">
        <f t="shared" si="3"/>
        <v>None</v>
      </c>
      <c r="S16" s="46" t="str">
        <f t="shared" si="4"/>
        <v>None</v>
      </c>
      <c r="T16" s="4" t="str">
        <f t="shared" si="5"/>
        <v>None</v>
      </c>
      <c r="U16" s="37" t="str">
        <f t="shared" si="6"/>
        <v>Pass</v>
      </c>
      <c r="V16" s="4">
        <f t="shared" si="7"/>
        <v>0</v>
      </c>
      <c r="W16" s="25" t="str">
        <f t="shared" si="8"/>
        <v>Pass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ht="12.75">
      <c r="A17" s="4">
        <f>IF(Demography!A17="","",Demography!A17)</f>
        <v>1308</v>
      </c>
      <c r="B17" s="327">
        <v>36573</v>
      </c>
      <c r="C17" s="36">
        <v>0</v>
      </c>
      <c r="D17" s="1">
        <v>1</v>
      </c>
      <c r="E17" s="1">
        <f t="shared" si="9"/>
        <v>1</v>
      </c>
      <c r="F17" s="39" t="s">
        <v>26</v>
      </c>
      <c r="G17" s="1" t="s">
        <v>54</v>
      </c>
      <c r="H17" s="5">
        <v>0</v>
      </c>
      <c r="I17" s="5">
        <v>0</v>
      </c>
      <c r="J17" s="4">
        <f t="shared" si="10"/>
        <v>0</v>
      </c>
      <c r="K17" s="6">
        <v>-2.11</v>
      </c>
      <c r="L17" s="6">
        <f t="shared" si="11"/>
        <v>2.11</v>
      </c>
      <c r="M17" s="42">
        <v>30</v>
      </c>
      <c r="N17" s="37" t="str">
        <f t="shared" si="12"/>
        <v>Pass</v>
      </c>
      <c r="O17" s="37" t="str">
        <f t="shared" si="0"/>
        <v>Pass</v>
      </c>
      <c r="P17" s="4" t="str">
        <f t="shared" si="1"/>
        <v>Pass</v>
      </c>
      <c r="Q17" s="4" t="str">
        <f t="shared" si="2"/>
        <v>Pass</v>
      </c>
      <c r="R17" s="37" t="str">
        <f t="shared" si="3"/>
        <v>None</v>
      </c>
      <c r="S17" s="46" t="str">
        <f t="shared" si="4"/>
        <v>None</v>
      </c>
      <c r="T17" s="4" t="str">
        <f t="shared" si="5"/>
        <v>None</v>
      </c>
      <c r="U17" s="37" t="str">
        <f t="shared" si="6"/>
        <v>Pass</v>
      </c>
      <c r="V17" s="4">
        <f t="shared" si="7"/>
        <v>0</v>
      </c>
      <c r="W17" s="25" t="str">
        <f t="shared" si="8"/>
        <v>Pass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ht="12.75">
      <c r="A18" s="4">
        <f>IF(Demography!A18="","",Demography!A18)</f>
        <v>1287</v>
      </c>
      <c r="B18" s="327">
        <v>36504</v>
      </c>
      <c r="C18" s="36">
        <v>0</v>
      </c>
      <c r="D18" s="1">
        <v>0</v>
      </c>
      <c r="E18" s="1">
        <f t="shared" si="9"/>
        <v>0</v>
      </c>
      <c r="F18" s="39" t="s">
        <v>26</v>
      </c>
      <c r="G18" s="1" t="s">
        <v>54</v>
      </c>
      <c r="H18" s="5">
        <v>0</v>
      </c>
      <c r="I18" s="5">
        <v>0</v>
      </c>
      <c r="J18" s="4">
        <f t="shared" si="10"/>
        <v>0</v>
      </c>
      <c r="K18" s="6">
        <v>-1.34</v>
      </c>
      <c r="L18" s="6">
        <f t="shared" si="11"/>
        <v>1.34</v>
      </c>
      <c r="M18" s="42">
        <v>29</v>
      </c>
      <c r="N18" s="37" t="str">
        <f t="shared" si="12"/>
        <v>Pass</v>
      </c>
      <c r="O18" s="37" t="str">
        <f t="shared" si="0"/>
        <v>Pass</v>
      </c>
      <c r="P18" s="4" t="str">
        <f t="shared" si="1"/>
        <v>Pass</v>
      </c>
      <c r="Q18" s="4" t="str">
        <f t="shared" si="2"/>
        <v>Pass</v>
      </c>
      <c r="R18" s="37" t="str">
        <f t="shared" si="3"/>
        <v>None</v>
      </c>
      <c r="S18" s="46" t="str">
        <f t="shared" si="4"/>
        <v>None</v>
      </c>
      <c r="T18" s="4" t="str">
        <f t="shared" si="5"/>
        <v>None</v>
      </c>
      <c r="U18" s="37" t="str">
        <f t="shared" si="6"/>
        <v>Pass</v>
      </c>
      <c r="V18" s="4">
        <f t="shared" si="7"/>
        <v>0</v>
      </c>
      <c r="W18" s="25" t="str">
        <f t="shared" si="8"/>
        <v>Pass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ht="12.75">
      <c r="A19" s="4">
        <f>IF(Demography!A19="","",Demography!A19)</f>
        <v>1467</v>
      </c>
      <c r="B19" s="327">
        <v>36810</v>
      </c>
      <c r="C19" s="36">
        <v>2</v>
      </c>
      <c r="D19" s="1">
        <v>0</v>
      </c>
      <c r="E19" s="120">
        <f t="shared" si="9"/>
        <v>2</v>
      </c>
      <c r="F19" s="144" t="s">
        <v>26</v>
      </c>
      <c r="G19" s="1" t="s">
        <v>52</v>
      </c>
      <c r="H19" s="5">
        <v>0</v>
      </c>
      <c r="I19" s="5">
        <v>0</v>
      </c>
      <c r="J19" s="4">
        <f t="shared" si="10"/>
        <v>0</v>
      </c>
      <c r="K19" s="6">
        <v>-9.98</v>
      </c>
      <c r="L19" s="6">
        <f t="shared" si="11"/>
        <v>9.98</v>
      </c>
      <c r="M19" s="42">
        <v>26</v>
      </c>
      <c r="N19" s="37" t="str">
        <f t="shared" si="12"/>
        <v>Pass</v>
      </c>
      <c r="O19" s="37" t="str">
        <f t="shared" si="0"/>
        <v>Pass</v>
      </c>
      <c r="P19" s="4" t="str">
        <f t="shared" si="1"/>
        <v>Pass</v>
      </c>
      <c r="Q19" s="4" t="str">
        <f t="shared" si="2"/>
        <v>Pass</v>
      </c>
      <c r="R19" s="37" t="str">
        <f t="shared" si="3"/>
        <v>None</v>
      </c>
      <c r="S19" s="46" t="str">
        <f t="shared" si="4"/>
        <v>None</v>
      </c>
      <c r="T19" s="4" t="str">
        <f t="shared" si="5"/>
        <v>None</v>
      </c>
      <c r="U19" s="37" t="str">
        <f t="shared" si="6"/>
        <v>Pass</v>
      </c>
      <c r="V19" s="4">
        <f t="shared" si="7"/>
        <v>0</v>
      </c>
      <c r="W19" s="25" t="str">
        <f t="shared" si="8"/>
        <v>Pass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3" customFormat="1" ht="12.75">
      <c r="A20" s="4">
        <f>IF(Demography!A20="","",Demography!A20)</f>
        <v>1324</v>
      </c>
      <c r="B20" s="328">
        <v>36794</v>
      </c>
      <c r="C20" s="37">
        <v>0</v>
      </c>
      <c r="D20" s="4">
        <v>0</v>
      </c>
      <c r="E20" s="1">
        <f t="shared" si="9"/>
        <v>0</v>
      </c>
      <c r="F20" s="40" t="s">
        <v>26</v>
      </c>
      <c r="G20" s="4" t="s">
        <v>101</v>
      </c>
      <c r="H20" s="5">
        <v>0</v>
      </c>
      <c r="I20" s="5">
        <v>0</v>
      </c>
      <c r="J20" s="4">
        <f t="shared" si="10"/>
        <v>0</v>
      </c>
      <c r="K20" s="6">
        <v>10.05</v>
      </c>
      <c r="L20" s="6">
        <f t="shared" si="11"/>
        <v>10.05</v>
      </c>
      <c r="M20" s="43">
        <v>27</v>
      </c>
      <c r="N20" s="37" t="str">
        <f t="shared" si="12"/>
        <v>Pass</v>
      </c>
      <c r="O20" s="37" t="str">
        <f t="shared" si="0"/>
        <v>Pass</v>
      </c>
      <c r="P20" s="4" t="str">
        <f t="shared" si="1"/>
        <v>Pass</v>
      </c>
      <c r="Q20" s="4" t="str">
        <f t="shared" si="2"/>
        <v>FAIL</v>
      </c>
      <c r="R20" s="37" t="str">
        <f t="shared" si="3"/>
        <v>None</v>
      </c>
      <c r="S20" s="46" t="str">
        <f t="shared" si="4"/>
        <v>None</v>
      </c>
      <c r="T20" s="4" t="str">
        <f t="shared" si="5"/>
        <v>Right</v>
      </c>
      <c r="U20" s="37" t="str">
        <f t="shared" si="6"/>
        <v>Pass</v>
      </c>
      <c r="V20" s="4">
        <f t="shared" si="7"/>
        <v>1</v>
      </c>
      <c r="W20" s="25" t="str">
        <f t="shared" si="8"/>
        <v>Pass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ht="12.75">
      <c r="A21" s="4">
        <f>IF(Demography!A21="","",Demography!A21)</f>
        <v>1565</v>
      </c>
      <c r="B21" s="327">
        <v>37033</v>
      </c>
      <c r="C21" s="36">
        <v>0</v>
      </c>
      <c r="D21" s="1">
        <v>1</v>
      </c>
      <c r="E21" s="1">
        <f t="shared" si="9"/>
        <v>1</v>
      </c>
      <c r="F21" s="39" t="s">
        <v>26</v>
      </c>
      <c r="G21" s="1" t="s">
        <v>54</v>
      </c>
      <c r="H21" s="5">
        <v>0</v>
      </c>
      <c r="I21" s="5">
        <v>0</v>
      </c>
      <c r="J21" s="4">
        <f t="shared" si="10"/>
        <v>0</v>
      </c>
      <c r="K21" s="6">
        <v>-10.56</v>
      </c>
      <c r="L21" s="6">
        <f t="shared" si="11"/>
        <v>10.56</v>
      </c>
      <c r="M21" s="42">
        <v>30</v>
      </c>
      <c r="N21" s="37" t="str">
        <f t="shared" si="12"/>
        <v>Pass</v>
      </c>
      <c r="O21" s="37" t="str">
        <f t="shared" si="0"/>
        <v>Pass</v>
      </c>
      <c r="P21" s="4" t="str">
        <f t="shared" si="1"/>
        <v>Pass</v>
      </c>
      <c r="Q21" s="4" t="str">
        <f t="shared" si="2"/>
        <v>FAIL</v>
      </c>
      <c r="R21" s="37" t="str">
        <f t="shared" si="3"/>
        <v>None</v>
      </c>
      <c r="S21" s="46" t="str">
        <f t="shared" si="4"/>
        <v>None</v>
      </c>
      <c r="T21" s="4" t="str">
        <f t="shared" si="5"/>
        <v>Left</v>
      </c>
      <c r="U21" s="37" t="str">
        <f t="shared" si="6"/>
        <v>Pass</v>
      </c>
      <c r="V21" s="4">
        <f t="shared" si="7"/>
        <v>1</v>
      </c>
      <c r="W21" s="25" t="str">
        <f t="shared" si="8"/>
        <v>Pass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ht="12.75">
      <c r="A22" s="4">
        <f>IF(Demography!A22="","",Demography!A22)</f>
        <v>1579</v>
      </c>
      <c r="B22" s="327">
        <v>37054</v>
      </c>
      <c r="C22" s="36">
        <v>1</v>
      </c>
      <c r="D22" s="1">
        <v>2</v>
      </c>
      <c r="E22" s="1">
        <f t="shared" si="9"/>
        <v>1</v>
      </c>
      <c r="F22" s="39" t="s">
        <v>26</v>
      </c>
      <c r="G22" s="1" t="s">
        <v>54</v>
      </c>
      <c r="H22" s="5">
        <v>0</v>
      </c>
      <c r="I22" s="5">
        <v>0</v>
      </c>
      <c r="J22" s="4">
        <f t="shared" si="10"/>
        <v>0</v>
      </c>
      <c r="K22" s="6">
        <v>7.49</v>
      </c>
      <c r="L22" s="6">
        <f t="shared" si="11"/>
        <v>7.49</v>
      </c>
      <c r="M22" s="42">
        <v>30</v>
      </c>
      <c r="N22" s="37" t="str">
        <f t="shared" si="12"/>
        <v>Pass</v>
      </c>
      <c r="O22" s="37" t="str">
        <f t="shared" si="0"/>
        <v>Pass</v>
      </c>
      <c r="P22" s="4" t="str">
        <f t="shared" si="1"/>
        <v>Pass</v>
      </c>
      <c r="Q22" s="4" t="str">
        <f t="shared" si="2"/>
        <v>Pass</v>
      </c>
      <c r="R22" s="37" t="str">
        <f t="shared" si="3"/>
        <v>None</v>
      </c>
      <c r="S22" s="46" t="str">
        <f t="shared" si="4"/>
        <v>None</v>
      </c>
      <c r="T22" s="4" t="str">
        <f t="shared" si="5"/>
        <v>None</v>
      </c>
      <c r="U22" s="37" t="str">
        <f t="shared" si="6"/>
        <v>Pass</v>
      </c>
      <c r="V22" s="4">
        <f t="shared" si="7"/>
        <v>0</v>
      </c>
      <c r="W22" s="25" t="str">
        <f t="shared" si="8"/>
        <v>Pass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ht="12.75">
      <c r="A23" s="4">
        <f>IF(Demography!A23="","",Demography!A23)</f>
        <v>1580</v>
      </c>
      <c r="B23" s="327">
        <v>37051</v>
      </c>
      <c r="C23" s="36">
        <v>0</v>
      </c>
      <c r="D23" s="1">
        <v>0</v>
      </c>
      <c r="E23" s="1">
        <f t="shared" si="9"/>
        <v>0</v>
      </c>
      <c r="F23" s="39" t="s">
        <v>27</v>
      </c>
      <c r="G23" s="1" t="s">
        <v>54</v>
      </c>
      <c r="H23" s="8">
        <v>0</v>
      </c>
      <c r="I23" s="8">
        <v>0</v>
      </c>
      <c r="J23" s="1">
        <f t="shared" si="10"/>
        <v>0</v>
      </c>
      <c r="K23" s="16">
        <v>-9.68</v>
      </c>
      <c r="L23" s="6">
        <f t="shared" si="11"/>
        <v>9.68</v>
      </c>
      <c r="M23" s="42">
        <v>26</v>
      </c>
      <c r="N23" s="37" t="str">
        <f t="shared" si="12"/>
        <v>Pass</v>
      </c>
      <c r="O23" s="37" t="str">
        <f t="shared" si="0"/>
        <v>Pass</v>
      </c>
      <c r="P23" s="4" t="str">
        <f t="shared" si="1"/>
        <v>Pass</v>
      </c>
      <c r="Q23" s="4" t="str">
        <f t="shared" si="2"/>
        <v>Pass</v>
      </c>
      <c r="R23" s="37" t="str">
        <f t="shared" si="3"/>
        <v>None</v>
      </c>
      <c r="S23" s="46" t="str">
        <f t="shared" si="4"/>
        <v>None</v>
      </c>
      <c r="T23" s="4" t="str">
        <f>IF(K23="","",IF(Q23="PASS","None",IF((K23&gt;10),"Right","Left")))</f>
        <v>None</v>
      </c>
      <c r="U23" s="37" t="str">
        <f>IF(R23="","",IF(COUNTIF(R23:T23,"Right")&gt;1,"FAIL",IF(COUNTIF(R23:T23,"Left")&gt;1,"FAIL","Pass")))</f>
        <v>Pass</v>
      </c>
      <c r="V23" s="4">
        <f t="shared" si="7"/>
        <v>0</v>
      </c>
      <c r="W23" s="25" t="str">
        <f t="shared" si="8"/>
        <v>Pass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ht="12.75">
      <c r="A24" s="315">
        <f>IF(Demography!A24="","",Demography!A24)</f>
        <v>1595</v>
      </c>
      <c r="B24" s="327">
        <v>37114</v>
      </c>
      <c r="C24" s="36">
        <v>0</v>
      </c>
      <c r="D24" s="1">
        <v>0</v>
      </c>
      <c r="E24" s="1">
        <f t="shared" si="9"/>
        <v>0</v>
      </c>
      <c r="F24" s="39" t="s">
        <v>27</v>
      </c>
      <c r="G24" s="1" t="s">
        <v>52</v>
      </c>
      <c r="H24" s="8">
        <v>0</v>
      </c>
      <c r="I24" s="8">
        <v>0</v>
      </c>
      <c r="J24" s="1">
        <f t="shared" si="10"/>
        <v>0</v>
      </c>
      <c r="K24" s="16">
        <v>6.67</v>
      </c>
      <c r="L24" s="6">
        <f t="shared" si="11"/>
        <v>6.67</v>
      </c>
      <c r="M24" s="42">
        <v>26</v>
      </c>
      <c r="N24" s="37" t="str">
        <f t="shared" si="12"/>
        <v>Pass</v>
      </c>
      <c r="O24" s="37" t="str">
        <f t="shared" si="0"/>
        <v>Pass</v>
      </c>
      <c r="P24" s="4" t="str">
        <f t="shared" si="1"/>
        <v>Pass</v>
      </c>
      <c r="Q24" s="4" t="str">
        <f t="shared" si="2"/>
        <v>Pass</v>
      </c>
      <c r="R24" s="37" t="str">
        <f t="shared" si="3"/>
        <v>None</v>
      </c>
      <c r="S24" s="46" t="str">
        <f t="shared" si="4"/>
        <v>None</v>
      </c>
      <c r="T24" s="4" t="str">
        <f>IF(K24="","",IF(Q24="PASS","None",IF((K24&gt;10),"Right","Left")))</f>
        <v>None</v>
      </c>
      <c r="U24" s="37" t="str">
        <f>IF(R24="","",IF(COUNTIF(R24:T24,"Right")&gt;1,"FAIL",IF(COUNTIF(R24:T24,"Left")&gt;1,"FAIL","Pass")))</f>
        <v>Pass</v>
      </c>
      <c r="V24" s="4">
        <f t="shared" si="7"/>
        <v>0</v>
      </c>
      <c r="W24" s="25" t="str">
        <f t="shared" si="8"/>
        <v>Pass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ht="13.5" thickBot="1">
      <c r="A25" s="294">
        <f>IF(Demography!A25="","",Demography!A25)</f>
        <v>1598</v>
      </c>
      <c r="B25" s="327">
        <v>37135</v>
      </c>
      <c r="C25" s="51">
        <v>0</v>
      </c>
      <c r="D25" s="52">
        <v>0</v>
      </c>
      <c r="E25" s="98">
        <f t="shared" si="9"/>
        <v>0</v>
      </c>
      <c r="F25" s="53" t="s">
        <v>26</v>
      </c>
      <c r="G25" s="52" t="s">
        <v>54</v>
      </c>
      <c r="H25" s="54">
        <v>0</v>
      </c>
      <c r="I25" s="54">
        <v>0</v>
      </c>
      <c r="J25" s="52">
        <f t="shared" si="10"/>
        <v>0</v>
      </c>
      <c r="K25" s="114">
        <v>-6.96</v>
      </c>
      <c r="L25" s="117">
        <f t="shared" si="11"/>
        <v>6.96</v>
      </c>
      <c r="M25" s="42">
        <v>30</v>
      </c>
      <c r="N25" s="37" t="str">
        <f t="shared" si="12"/>
        <v>Pass</v>
      </c>
      <c r="O25" s="56" t="str">
        <f t="shared" si="0"/>
        <v>Pass</v>
      </c>
      <c r="P25" s="50" t="str">
        <f t="shared" si="1"/>
        <v>Pass</v>
      </c>
      <c r="Q25" s="50" t="str">
        <f t="shared" si="2"/>
        <v>Pass</v>
      </c>
      <c r="R25" s="56" t="str">
        <f t="shared" si="3"/>
        <v>None</v>
      </c>
      <c r="S25" s="50" t="str">
        <f t="shared" si="4"/>
        <v>None</v>
      </c>
      <c r="T25" s="50" t="str">
        <f>IF(K25="","",IF(Q25="PASS","None",IF((K25&gt;10),"Right","Left")))</f>
        <v>None</v>
      </c>
      <c r="U25" s="56" t="str">
        <f>IF(R25="","",IF(COUNTIF(R25:T25,"Right")&gt;1,"FAIL",IF(COUNTIF(R25:T25,"Left")&gt;1,"FAIL","Pass")))</f>
        <v>Pass</v>
      </c>
      <c r="V25" s="50">
        <f t="shared" si="7"/>
        <v>0</v>
      </c>
      <c r="W25" s="57" t="str">
        <f t="shared" si="8"/>
        <v>Pass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ht="35.25" customHeight="1">
      <c r="A26" s="370" t="s">
        <v>329</v>
      </c>
      <c r="B26" s="216" t="str">
        <f>IF(Demography!B29="","",Demography!B29)</f>
        <v>Total Subjects</v>
      </c>
      <c r="K26" s="385" t="s">
        <v>315</v>
      </c>
      <c r="L26" s="386"/>
      <c r="M26" s="359" t="s">
        <v>313</v>
      </c>
      <c r="N26" s="356"/>
      <c r="O26" s="1"/>
      <c r="P26" s="1"/>
      <c r="Q26" s="1"/>
      <c r="R26" s="1"/>
      <c r="S26" s="1"/>
      <c r="T26" s="1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ht="13.5" thickBot="1">
      <c r="A27" s="370"/>
      <c r="B27" s="319">
        <f>IF(Demography!C29="","",Demography!C29)</f>
        <v>23</v>
      </c>
      <c r="H27" s="8"/>
      <c r="I27" s="8"/>
      <c r="J27" s="8"/>
      <c r="K27" s="250" t="s">
        <v>24</v>
      </c>
      <c r="L27" s="248">
        <f>AVERAGE(L3:L25)</f>
        <v>5.248791304347827</v>
      </c>
      <c r="M27" s="250" t="s">
        <v>24</v>
      </c>
      <c r="N27" s="235">
        <f>AVERAGE(M3:M25)</f>
        <v>28.17391304347826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ht="12.75">
      <c r="A28" s="370"/>
      <c r="G28"/>
      <c r="H28"/>
      <c r="I28"/>
      <c r="J28"/>
      <c r="K28" s="250" t="s">
        <v>74</v>
      </c>
      <c r="L28" s="252">
        <f>STDEV(L3:L25)</f>
        <v>3.6216118011325786</v>
      </c>
      <c r="M28" s="250" t="s">
        <v>74</v>
      </c>
      <c r="N28" s="235">
        <f>STDEV(M3:M25)</f>
        <v>1.6692996330264311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ht="12.75">
      <c r="A29" s="370"/>
      <c r="B29"/>
      <c r="G29"/>
      <c r="H29"/>
      <c r="I29"/>
      <c r="J29"/>
      <c r="K29" s="250" t="s">
        <v>75</v>
      </c>
      <c r="L29" s="252">
        <f>MEDIAN(L3:L25)</f>
        <v>5.21</v>
      </c>
      <c r="M29" s="250" t="s">
        <v>75</v>
      </c>
      <c r="N29" s="235">
        <f>MEDIAN(M3:M25)</f>
        <v>28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7:52" ht="12.75">
      <c r="G30"/>
      <c r="H30"/>
      <c r="I30"/>
      <c r="J30"/>
      <c r="K30" s="250" t="s">
        <v>76</v>
      </c>
      <c r="L30" s="252">
        <f>MIN(L3:L25)</f>
        <v>0.16</v>
      </c>
      <c r="M30" s="250" t="s">
        <v>76</v>
      </c>
      <c r="N30" s="235">
        <f>MIN(M3:M25)</f>
        <v>24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7:52" ht="13.5" thickBot="1">
      <c r="G31"/>
      <c r="H31"/>
      <c r="I31"/>
      <c r="J31"/>
      <c r="K31" s="251" t="s">
        <v>77</v>
      </c>
      <c r="L31" s="253">
        <f>MAX(L3:L25)</f>
        <v>10.63</v>
      </c>
      <c r="M31" s="251" t="s">
        <v>77</v>
      </c>
      <c r="N31" s="236">
        <f>MAX(M3:M25)</f>
        <v>30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7:52" ht="12.75">
      <c r="G32"/>
      <c r="H32"/>
      <c r="I32"/>
      <c r="J32"/>
      <c r="K32" s="146"/>
      <c r="Q32" s="7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24:52" ht="12.75"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24:52" ht="12.75"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24:52" ht="12.75"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24:52" ht="12.75"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24:52" ht="12.75"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24:52" ht="12.75"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24:52" ht="12.75"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24:52" ht="12.75"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5" ht="12.75">
      <c r="B45" s="15"/>
    </row>
    <row r="46" ht="12.75">
      <c r="B46" s="15"/>
    </row>
    <row r="47" ht="12.75">
      <c r="B47" s="15"/>
    </row>
  </sheetData>
  <mergeCells count="10">
    <mergeCell ref="A26:A29"/>
    <mergeCell ref="W1:W2"/>
    <mergeCell ref="M1:N1"/>
    <mergeCell ref="C1:E1"/>
    <mergeCell ref="O1:Q1"/>
    <mergeCell ref="R1:T1"/>
    <mergeCell ref="M26:N26"/>
    <mergeCell ref="F1:L1"/>
    <mergeCell ref="K26:L26"/>
    <mergeCell ref="U1:V1"/>
  </mergeCells>
  <printOptions horizontalCentered="1" verticalCentered="1"/>
  <pageMargins left="0.75" right="0.75" top="1" bottom="1" header="0.5" footer="0.5"/>
  <pageSetup horizontalDpi="600" verticalDpi="600" orientation="landscape" r:id="rId1"/>
  <colBreaks count="1" manualBreakCount="1">
    <brk id="4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U50"/>
  <sheetViews>
    <sheetView zoomScale="75" zoomScaleNormal="75" workbookViewId="0" topLeftCell="B1">
      <pane xSplit="1" topLeftCell="AS2" activePane="topRight" state="frozen"/>
      <selection pane="topLeft" activeCell="B1" sqref="B1"/>
      <selection pane="topRight" activeCell="E13" sqref="E13"/>
    </sheetView>
  </sheetViews>
  <sheetFormatPr defaultColWidth="9.140625" defaultRowHeight="12"/>
  <cols>
    <col min="1" max="1" width="12.00390625" style="2" hidden="1" customWidth="1"/>
    <col min="2" max="2" width="27.8515625" style="2" customWidth="1"/>
    <col min="3" max="3" width="12.00390625" style="1" customWidth="1"/>
    <col min="4" max="4" width="18.7109375" style="1" customWidth="1"/>
    <col min="5" max="5" width="16.00390625" style="1" customWidth="1"/>
    <col min="6" max="6" width="23.00390625" style="1" customWidth="1"/>
    <col min="7" max="7" width="26.7109375" style="1" customWidth="1"/>
    <col min="8" max="8" width="21.28125" style="1" customWidth="1"/>
    <col min="9" max="9" width="25.140625" style="1" customWidth="1"/>
    <col min="10" max="10" width="26.8515625" style="1" customWidth="1"/>
    <col min="11" max="11" width="26.140625" style="1" customWidth="1"/>
    <col min="12" max="12" width="32.140625" style="1" customWidth="1"/>
    <col min="13" max="13" width="24.421875" style="1" customWidth="1"/>
    <col min="14" max="14" width="25.00390625" style="1" customWidth="1"/>
    <col min="15" max="15" width="34.28125" style="1" customWidth="1"/>
    <col min="16" max="16" width="26.8515625" style="1" customWidth="1"/>
    <col min="17" max="17" width="20.7109375" style="1" customWidth="1"/>
    <col min="18" max="18" width="18.28125" style="1" customWidth="1"/>
    <col min="19" max="19" width="22.28125" style="1" customWidth="1"/>
    <col min="20" max="20" width="27.7109375" style="1" customWidth="1"/>
    <col min="21" max="21" width="14.28125" style="1" customWidth="1"/>
    <col min="22" max="22" width="37.8515625" style="1" customWidth="1"/>
    <col min="23" max="23" width="20.28125" style="1" customWidth="1"/>
    <col min="24" max="24" width="18.00390625" style="1" customWidth="1"/>
    <col min="25" max="25" width="28.421875" style="1" customWidth="1"/>
    <col min="26" max="26" width="17.7109375" style="1" customWidth="1"/>
    <col min="27" max="27" width="14.421875" style="1" customWidth="1"/>
    <col min="28" max="28" width="24.8515625" style="1" customWidth="1"/>
    <col min="29" max="29" width="20.140625" style="1" customWidth="1"/>
    <col min="30" max="30" width="13.28125" style="1" customWidth="1"/>
    <col min="31" max="31" width="24.7109375" style="1" customWidth="1"/>
    <col min="32" max="32" width="10.7109375" style="1" customWidth="1"/>
    <col min="33" max="33" width="13.421875" style="1" customWidth="1"/>
    <col min="34" max="34" width="16.00390625" style="1" customWidth="1"/>
    <col min="35" max="35" width="25.00390625" style="1" customWidth="1"/>
    <col min="36" max="36" width="22.7109375" style="1" customWidth="1"/>
    <col min="37" max="37" width="25.140625" style="1" customWidth="1"/>
    <col min="38" max="38" width="24.00390625" style="1" customWidth="1"/>
    <col min="39" max="39" width="17.7109375" style="1" customWidth="1"/>
    <col min="40" max="40" width="16.7109375" style="1" customWidth="1"/>
    <col min="41" max="41" width="24.140625" style="1" customWidth="1"/>
    <col min="42" max="42" width="14.28125" style="1" customWidth="1"/>
    <col min="43" max="43" width="16.28125" style="1" customWidth="1"/>
    <col min="44" max="44" width="13.28125" style="1" customWidth="1"/>
    <col min="45" max="45" width="12.00390625" style="1" customWidth="1"/>
    <col min="46" max="47" width="19.28125" style="1" customWidth="1"/>
    <col min="48" max="48" width="23.140625" style="1" customWidth="1"/>
    <col min="49" max="49" width="22.28125" style="1" customWidth="1"/>
    <col min="50" max="50" width="17.421875" style="1" customWidth="1"/>
    <col min="51" max="51" width="22.140625" style="1" customWidth="1"/>
    <col min="52" max="52" width="21.8515625" style="1" customWidth="1"/>
    <col min="53" max="53" width="19.28125" style="1" customWidth="1"/>
    <col min="54" max="54" width="22.28125" style="1" customWidth="1"/>
    <col min="55" max="55" width="23.140625" style="1" customWidth="1"/>
    <col min="56" max="56" width="22.28125" style="1" customWidth="1"/>
    <col min="57" max="57" width="34.140625" style="1" customWidth="1"/>
    <col min="58" max="58" width="28.7109375" style="1" customWidth="1"/>
    <col min="59" max="59" width="27.421875" style="1" customWidth="1"/>
    <col min="60" max="60" width="17.7109375" style="1" customWidth="1"/>
    <col min="61" max="61" width="21.00390625" style="1" customWidth="1"/>
    <col min="62" max="62" width="19.140625" style="1" customWidth="1"/>
    <col min="63" max="63" width="18.140625" style="1" customWidth="1"/>
    <col min="64" max="64" width="15.421875" style="1" customWidth="1"/>
    <col min="65" max="65" width="14.7109375" style="1" customWidth="1"/>
    <col min="66" max="66" width="17.421875" style="1" customWidth="1"/>
    <col min="67" max="67" width="19.28125" style="1" customWidth="1"/>
    <col min="68" max="68" width="14.8515625" style="1" customWidth="1"/>
    <col min="69" max="69" width="21.8515625" style="1" customWidth="1"/>
    <col min="70" max="71" width="12.00390625" style="1" customWidth="1"/>
    <col min="72" max="72" width="16.421875" style="1" customWidth="1"/>
    <col min="73" max="73" width="23.00390625" style="1" customWidth="1"/>
    <col min="74" max="74" width="23.421875" style="1" customWidth="1"/>
    <col min="75" max="75" width="25.140625" style="1" customWidth="1"/>
    <col min="76" max="76" width="23.28125" style="1" customWidth="1"/>
    <col min="77" max="77" width="19.28125" style="1" customWidth="1"/>
    <col min="78" max="78" width="19.140625" style="1" customWidth="1"/>
    <col min="79" max="79" width="37.7109375" style="1" customWidth="1"/>
    <col min="80" max="80" width="23.28125" style="1" customWidth="1"/>
    <col min="81" max="81" width="19.140625" style="1" customWidth="1"/>
    <col min="82" max="82" width="16.140625" style="1" customWidth="1"/>
    <col min="83" max="83" width="13.140625" style="1" customWidth="1"/>
    <col min="84" max="84" width="12.00390625" style="1" customWidth="1"/>
    <col min="85" max="85" width="14.00390625" style="1" customWidth="1"/>
    <col min="86" max="16384" width="12.00390625" style="2" customWidth="1"/>
  </cols>
  <sheetData>
    <row r="1" spans="2:255" s="83" customFormat="1" ht="59.25" customHeight="1">
      <c r="B1" s="362" t="s">
        <v>118</v>
      </c>
      <c r="C1" s="399" t="s">
        <v>319</v>
      </c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262" t="s">
        <v>205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362" t="s">
        <v>205</v>
      </c>
      <c r="CG1" s="362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</row>
    <row r="2" spans="2:85" s="63" customFormat="1" ht="41.25" customHeight="1">
      <c r="B2" s="362"/>
      <c r="C2" s="395" t="s">
        <v>8</v>
      </c>
      <c r="D2" s="396"/>
      <c r="E2" s="396"/>
      <c r="F2" s="397"/>
      <c r="G2" s="398" t="s">
        <v>180</v>
      </c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2" t="s">
        <v>179</v>
      </c>
      <c r="X2" s="393"/>
      <c r="Y2" s="393"/>
      <c r="Z2" s="393"/>
      <c r="AA2" s="393"/>
      <c r="AB2" s="393"/>
      <c r="AC2" s="393"/>
      <c r="AD2" s="393"/>
      <c r="AE2" s="394"/>
      <c r="AF2" s="390" t="s">
        <v>40</v>
      </c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263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362"/>
      <c r="CG2" s="362"/>
    </row>
    <row r="3" spans="1:98" s="74" customFormat="1" ht="62.25" customHeight="1">
      <c r="A3" s="73" t="s">
        <v>56</v>
      </c>
      <c r="B3" s="90" t="s">
        <v>55</v>
      </c>
      <c r="C3" s="85" t="s">
        <v>152</v>
      </c>
      <c r="D3" s="85" t="s">
        <v>154</v>
      </c>
      <c r="E3" s="85" t="s">
        <v>155</v>
      </c>
      <c r="F3" s="85" t="s">
        <v>156</v>
      </c>
      <c r="G3" s="86" t="s">
        <v>161</v>
      </c>
      <c r="H3" s="86" t="s">
        <v>162</v>
      </c>
      <c r="I3" s="256" t="s">
        <v>163</v>
      </c>
      <c r="J3" s="86" t="s">
        <v>207</v>
      </c>
      <c r="K3" s="86" t="s">
        <v>208</v>
      </c>
      <c r="L3" s="256" t="s">
        <v>164</v>
      </c>
      <c r="M3" s="86" t="s">
        <v>165</v>
      </c>
      <c r="N3" s="86" t="s">
        <v>166</v>
      </c>
      <c r="O3" s="86" t="s">
        <v>167</v>
      </c>
      <c r="P3" s="256" t="s">
        <v>168</v>
      </c>
      <c r="Q3" s="86" t="s">
        <v>172</v>
      </c>
      <c r="R3" s="86" t="s">
        <v>173</v>
      </c>
      <c r="S3" s="86" t="s">
        <v>174</v>
      </c>
      <c r="T3" s="256" t="s">
        <v>175</v>
      </c>
      <c r="U3" s="86" t="s">
        <v>176</v>
      </c>
      <c r="V3" s="86" t="s">
        <v>177</v>
      </c>
      <c r="W3" s="87" t="s">
        <v>181</v>
      </c>
      <c r="X3" s="87" t="s">
        <v>182</v>
      </c>
      <c r="Y3" s="87" t="s">
        <v>183</v>
      </c>
      <c r="Z3" s="256" t="s">
        <v>184</v>
      </c>
      <c r="AA3" s="87" t="s">
        <v>209</v>
      </c>
      <c r="AB3" s="87" t="s">
        <v>188</v>
      </c>
      <c r="AC3" s="87" t="s">
        <v>185</v>
      </c>
      <c r="AD3" s="256" t="s">
        <v>186</v>
      </c>
      <c r="AE3" s="87" t="s">
        <v>187</v>
      </c>
      <c r="AF3" s="89" t="s">
        <v>192</v>
      </c>
      <c r="AG3" s="256" t="s">
        <v>193</v>
      </c>
      <c r="AH3" s="89" t="s">
        <v>194</v>
      </c>
      <c r="AI3" s="89" t="s">
        <v>195</v>
      </c>
      <c r="AJ3" s="89" t="s">
        <v>196</v>
      </c>
      <c r="AK3" s="89" t="s">
        <v>197</v>
      </c>
      <c r="AL3" s="256" t="s">
        <v>198</v>
      </c>
      <c r="AM3" s="89" t="s">
        <v>199</v>
      </c>
      <c r="AN3" s="89" t="s">
        <v>200</v>
      </c>
      <c r="AO3" s="256" t="s">
        <v>201</v>
      </c>
      <c r="AP3" s="256" t="s">
        <v>202</v>
      </c>
      <c r="AQ3" s="89" t="s">
        <v>203</v>
      </c>
      <c r="AR3" s="256" t="s">
        <v>204</v>
      </c>
      <c r="AS3" s="85" t="s">
        <v>152</v>
      </c>
      <c r="AT3" s="85" t="s">
        <v>154</v>
      </c>
      <c r="AU3" s="85" t="s">
        <v>155</v>
      </c>
      <c r="AV3" s="85" t="s">
        <v>156</v>
      </c>
      <c r="AW3" s="86" t="s">
        <v>161</v>
      </c>
      <c r="AX3" s="86" t="s">
        <v>162</v>
      </c>
      <c r="AY3" s="86" t="s">
        <v>163</v>
      </c>
      <c r="AZ3" s="86" t="s">
        <v>207</v>
      </c>
      <c r="BA3" s="86" t="s">
        <v>208</v>
      </c>
      <c r="BB3" s="86" t="s">
        <v>164</v>
      </c>
      <c r="BC3" s="86" t="s">
        <v>165</v>
      </c>
      <c r="BD3" s="86" t="s">
        <v>166</v>
      </c>
      <c r="BE3" s="86" t="s">
        <v>167</v>
      </c>
      <c r="BF3" s="86" t="s">
        <v>168</v>
      </c>
      <c r="BG3" s="86" t="s">
        <v>175</v>
      </c>
      <c r="BH3" s="86" t="s">
        <v>176</v>
      </c>
      <c r="BI3" s="87" t="s">
        <v>181</v>
      </c>
      <c r="BJ3" s="87" t="s">
        <v>182</v>
      </c>
      <c r="BK3" s="87" t="s">
        <v>183</v>
      </c>
      <c r="BL3" s="87" t="s">
        <v>184</v>
      </c>
      <c r="BM3" s="87" t="s">
        <v>209</v>
      </c>
      <c r="BN3" s="87" t="s">
        <v>188</v>
      </c>
      <c r="BO3" s="87" t="s">
        <v>185</v>
      </c>
      <c r="BP3" s="87" t="s">
        <v>186</v>
      </c>
      <c r="BQ3" s="87" t="s">
        <v>187</v>
      </c>
      <c r="BR3" s="89" t="s">
        <v>192</v>
      </c>
      <c r="BS3" s="89" t="s">
        <v>193</v>
      </c>
      <c r="BT3" s="89" t="s">
        <v>194</v>
      </c>
      <c r="BU3" s="89" t="s">
        <v>195</v>
      </c>
      <c r="BV3" s="89" t="s">
        <v>196</v>
      </c>
      <c r="BW3" s="89" t="s">
        <v>197</v>
      </c>
      <c r="BX3" s="89" t="s">
        <v>198</v>
      </c>
      <c r="BY3" s="89" t="s">
        <v>199</v>
      </c>
      <c r="BZ3" s="89" t="s">
        <v>200</v>
      </c>
      <c r="CA3" s="89" t="s">
        <v>177</v>
      </c>
      <c r="CB3" s="89" t="s">
        <v>201</v>
      </c>
      <c r="CC3" s="89" t="s">
        <v>202</v>
      </c>
      <c r="CD3" s="89" t="s">
        <v>203</v>
      </c>
      <c r="CE3" s="89" t="s">
        <v>204</v>
      </c>
      <c r="CF3" s="264" t="s">
        <v>24</v>
      </c>
      <c r="CG3" s="264" t="s">
        <v>289</v>
      </c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</row>
    <row r="4" spans="1:85" ht="12.75">
      <c r="A4" s="3" t="e">
        <f>IF(Demography!#REF!="","",Demography!#REF!)</f>
        <v>#REF!</v>
      </c>
      <c r="B4" s="4">
        <f>IF(Demography!A3="","",Demography!A3)</f>
        <v>970</v>
      </c>
      <c r="C4" s="1">
        <v>4</v>
      </c>
      <c r="D4" s="1">
        <v>3</v>
      </c>
      <c r="E4" s="1">
        <v>4</v>
      </c>
      <c r="F4" s="1">
        <v>2</v>
      </c>
      <c r="G4" s="1">
        <v>4</v>
      </c>
      <c r="H4" s="1">
        <v>4</v>
      </c>
      <c r="I4" s="1">
        <v>3</v>
      </c>
      <c r="J4" s="1">
        <v>2</v>
      </c>
      <c r="K4" s="1">
        <v>3</v>
      </c>
      <c r="L4" s="1">
        <v>4</v>
      </c>
      <c r="M4" s="1">
        <v>2</v>
      </c>
      <c r="N4" s="1">
        <v>1</v>
      </c>
      <c r="O4" s="1">
        <v>1</v>
      </c>
      <c r="P4" s="1">
        <v>1</v>
      </c>
      <c r="Q4" s="1">
        <v>2</v>
      </c>
      <c r="R4" s="1">
        <v>2</v>
      </c>
      <c r="S4" s="1">
        <v>1</v>
      </c>
      <c r="T4" s="1" t="s">
        <v>34</v>
      </c>
      <c r="U4" s="1" t="s">
        <v>34</v>
      </c>
      <c r="V4" s="1" t="s">
        <v>34</v>
      </c>
      <c r="W4" s="1">
        <v>3</v>
      </c>
      <c r="X4" s="1">
        <v>3</v>
      </c>
      <c r="Y4" s="1">
        <v>5</v>
      </c>
      <c r="Z4" s="1">
        <v>1</v>
      </c>
      <c r="AA4" s="1">
        <v>1</v>
      </c>
      <c r="AB4" s="1">
        <v>1</v>
      </c>
      <c r="AC4" s="1">
        <v>1</v>
      </c>
      <c r="AD4" s="1">
        <v>4</v>
      </c>
      <c r="AE4" s="1">
        <v>2</v>
      </c>
      <c r="AF4" s="1">
        <v>7</v>
      </c>
      <c r="AG4" s="1">
        <v>5</v>
      </c>
      <c r="AH4" s="1">
        <v>2</v>
      </c>
      <c r="AI4" s="1">
        <v>6</v>
      </c>
      <c r="AJ4" s="1">
        <v>1</v>
      </c>
      <c r="AK4" s="1">
        <v>2</v>
      </c>
      <c r="AL4" s="1">
        <v>4</v>
      </c>
      <c r="AM4" s="1">
        <v>1</v>
      </c>
      <c r="AN4" s="1">
        <v>1</v>
      </c>
      <c r="AO4" s="1">
        <v>3</v>
      </c>
      <c r="AP4" s="1">
        <v>3</v>
      </c>
      <c r="AQ4" s="1">
        <v>3</v>
      </c>
      <c r="AR4" s="1">
        <v>5</v>
      </c>
      <c r="AS4" s="16">
        <v>0.73</v>
      </c>
      <c r="AT4" s="16">
        <v>0.78</v>
      </c>
      <c r="AU4" s="16">
        <v>1.02</v>
      </c>
      <c r="AV4" s="16">
        <v>-0.75</v>
      </c>
      <c r="AW4" s="16">
        <v>1.38</v>
      </c>
      <c r="AX4" s="16">
        <v>0.91</v>
      </c>
      <c r="AY4" s="16">
        <v>-0.1</v>
      </c>
      <c r="AZ4" s="16">
        <v>-0.5</v>
      </c>
      <c r="BA4" s="16">
        <v>-0.05</v>
      </c>
      <c r="BB4" s="16">
        <v>0.6</v>
      </c>
      <c r="BC4" s="16">
        <v>-1.18</v>
      </c>
      <c r="BD4" s="16">
        <v>-2.84</v>
      </c>
      <c r="BE4" s="16">
        <v>-2.72</v>
      </c>
      <c r="BF4" s="16">
        <v>-1.8</v>
      </c>
      <c r="BG4" s="16" t="s">
        <v>34</v>
      </c>
      <c r="BH4" s="16" t="s">
        <v>34</v>
      </c>
      <c r="BI4" s="16">
        <v>0.51</v>
      </c>
      <c r="BJ4" s="16">
        <v>0.08</v>
      </c>
      <c r="BK4" s="16">
        <v>0.92</v>
      </c>
      <c r="BL4" s="16">
        <v>-2.15</v>
      </c>
      <c r="BM4" s="16">
        <v>-1.61</v>
      </c>
      <c r="BN4" s="16">
        <v>-1.7</v>
      </c>
      <c r="BO4" s="16">
        <v>-2.06</v>
      </c>
      <c r="BP4" s="16">
        <v>0.7</v>
      </c>
      <c r="BQ4" s="16">
        <v>-1.1</v>
      </c>
      <c r="BR4" s="16">
        <v>1.07</v>
      </c>
      <c r="BS4" s="16">
        <v>2.01</v>
      </c>
      <c r="BT4" s="16">
        <v>-0.06000000000000005</v>
      </c>
      <c r="BU4" s="16">
        <v>1.95</v>
      </c>
      <c r="BV4" s="16">
        <v>-2.76</v>
      </c>
      <c r="BW4" s="16">
        <v>-0.86</v>
      </c>
      <c r="BX4" s="16">
        <v>1.08</v>
      </c>
      <c r="BY4" s="16">
        <v>-2.44</v>
      </c>
      <c r="BZ4" s="16">
        <v>-2.9</v>
      </c>
      <c r="CA4" s="16" t="s">
        <v>34</v>
      </c>
      <c r="CB4" s="16">
        <v>-0.03</v>
      </c>
      <c r="CC4" s="16">
        <v>0.26</v>
      </c>
      <c r="CD4" s="16">
        <v>-0.46</v>
      </c>
      <c r="CE4" s="16">
        <v>1.45</v>
      </c>
      <c r="CF4" s="16">
        <v>-0.3505555555555555</v>
      </c>
      <c r="CG4" s="188">
        <v>-0.16731226716418407</v>
      </c>
    </row>
    <row r="5" spans="1:85" ht="12.75">
      <c r="A5" s="3" t="e">
        <f>IF(Demography!#REF!="","",Demography!#REF!)</f>
        <v>#REF!</v>
      </c>
      <c r="B5" s="4">
        <f>IF(Demography!A4="","",Demography!A4)</f>
        <v>979</v>
      </c>
      <c r="C5" s="1">
        <v>3</v>
      </c>
      <c r="D5" s="1">
        <v>2</v>
      </c>
      <c r="E5" s="1">
        <v>3</v>
      </c>
      <c r="F5" s="1">
        <v>1</v>
      </c>
      <c r="G5" s="1">
        <v>5</v>
      </c>
      <c r="H5" s="1">
        <v>3</v>
      </c>
      <c r="I5" s="1">
        <v>3</v>
      </c>
      <c r="J5" s="1">
        <v>1</v>
      </c>
      <c r="K5" s="1">
        <v>3</v>
      </c>
      <c r="L5" s="1">
        <v>4</v>
      </c>
      <c r="M5" s="1">
        <v>1</v>
      </c>
      <c r="N5" s="1">
        <v>2</v>
      </c>
      <c r="O5" s="1">
        <v>3</v>
      </c>
      <c r="P5" s="1">
        <v>3</v>
      </c>
      <c r="Q5" s="1">
        <v>2</v>
      </c>
      <c r="R5" s="1">
        <v>2</v>
      </c>
      <c r="S5" s="1">
        <v>1</v>
      </c>
      <c r="T5" s="1" t="s">
        <v>34</v>
      </c>
      <c r="U5" s="1">
        <v>5</v>
      </c>
      <c r="V5" s="1">
        <v>5</v>
      </c>
      <c r="W5" s="1">
        <v>3</v>
      </c>
      <c r="X5" s="1">
        <v>3</v>
      </c>
      <c r="Y5" s="1">
        <v>5</v>
      </c>
      <c r="Z5" s="1">
        <v>3</v>
      </c>
      <c r="AA5" s="1">
        <v>3</v>
      </c>
      <c r="AB5" s="1">
        <v>2</v>
      </c>
      <c r="AC5" s="1">
        <v>4</v>
      </c>
      <c r="AD5" s="1">
        <v>4</v>
      </c>
      <c r="AE5" s="1">
        <v>4</v>
      </c>
      <c r="AF5" s="1">
        <v>8</v>
      </c>
      <c r="AG5" s="1">
        <v>8</v>
      </c>
      <c r="AH5" s="1">
        <v>3</v>
      </c>
      <c r="AI5" s="1">
        <v>3</v>
      </c>
      <c r="AJ5" s="1">
        <v>2</v>
      </c>
      <c r="AK5" s="1">
        <v>3</v>
      </c>
      <c r="AL5" s="1">
        <v>4</v>
      </c>
      <c r="AM5" s="1">
        <v>3</v>
      </c>
      <c r="AN5" s="1">
        <v>1</v>
      </c>
      <c r="AO5" s="1">
        <v>4</v>
      </c>
      <c r="AP5" s="1">
        <v>3</v>
      </c>
      <c r="AQ5" s="1">
        <v>4</v>
      </c>
      <c r="AR5" s="1">
        <v>5</v>
      </c>
      <c r="AS5" s="16">
        <v>0.02</v>
      </c>
      <c r="AT5" s="16">
        <v>0.01</v>
      </c>
      <c r="AU5" s="16">
        <v>0.31</v>
      </c>
      <c r="AV5" s="16">
        <v>-1.97</v>
      </c>
      <c r="AW5" s="16">
        <v>2.68</v>
      </c>
      <c r="AX5" s="16">
        <v>0.2</v>
      </c>
      <c r="AY5" s="16">
        <v>-0.1</v>
      </c>
      <c r="AZ5" s="16">
        <v>-1.72</v>
      </c>
      <c r="BA5" s="16">
        <v>-0.05</v>
      </c>
      <c r="BB5" s="16">
        <v>0.6</v>
      </c>
      <c r="BC5" s="16">
        <v>-2.4</v>
      </c>
      <c r="BD5" s="16">
        <v>-1.62</v>
      </c>
      <c r="BE5" s="16">
        <v>-0.73</v>
      </c>
      <c r="BF5" s="16">
        <v>0.19</v>
      </c>
      <c r="BG5" s="16" t="s">
        <v>34</v>
      </c>
      <c r="BH5" s="16">
        <v>3.77</v>
      </c>
      <c r="BI5" s="16">
        <v>0.51</v>
      </c>
      <c r="BJ5" s="16">
        <v>0.08</v>
      </c>
      <c r="BK5" s="16">
        <v>0.92</v>
      </c>
      <c r="BL5" s="16">
        <v>-0.16</v>
      </c>
      <c r="BM5" s="16">
        <v>0.38</v>
      </c>
      <c r="BN5" s="16">
        <v>-0.48</v>
      </c>
      <c r="BO5" s="16">
        <v>0.64</v>
      </c>
      <c r="BP5" s="16">
        <v>0.7</v>
      </c>
      <c r="BQ5" s="16">
        <v>0.38</v>
      </c>
      <c r="BR5" s="16">
        <v>1.07</v>
      </c>
      <c r="BS5" s="16">
        <v>2.01</v>
      </c>
      <c r="BT5" s="16">
        <v>0.71</v>
      </c>
      <c r="BU5" s="16">
        <v>-0.06</v>
      </c>
      <c r="BV5" s="16">
        <v>-1.54</v>
      </c>
      <c r="BW5" s="16">
        <v>-0.09</v>
      </c>
      <c r="BX5" s="16">
        <v>1.08</v>
      </c>
      <c r="BY5" s="16">
        <v>-0.45</v>
      </c>
      <c r="BZ5" s="16">
        <v>-2.9</v>
      </c>
      <c r="CA5" s="16">
        <v>3.41</v>
      </c>
      <c r="CB5" s="16">
        <v>0.68</v>
      </c>
      <c r="CC5" s="16">
        <v>0.26</v>
      </c>
      <c r="CD5" s="16">
        <v>0.25</v>
      </c>
      <c r="CE5" s="16">
        <v>1.45</v>
      </c>
      <c r="CF5" s="16">
        <v>0.21157894736842098</v>
      </c>
      <c r="CG5" s="115">
        <v>0.0790764831760751</v>
      </c>
    </row>
    <row r="6" spans="1:85" ht="12.75">
      <c r="A6" s="3" t="e">
        <f>IF(Demography!#REF!="","",Demography!#REF!)</f>
        <v>#REF!</v>
      </c>
      <c r="B6" s="4">
        <f>IF(Demography!A5="","",Demography!A5)</f>
        <v>1035</v>
      </c>
      <c r="C6" s="1">
        <v>1</v>
      </c>
      <c r="D6" s="1">
        <v>5</v>
      </c>
      <c r="E6" s="1">
        <v>4</v>
      </c>
      <c r="F6" s="1">
        <v>1</v>
      </c>
      <c r="G6" s="1">
        <v>4</v>
      </c>
      <c r="H6" s="1">
        <v>3</v>
      </c>
      <c r="I6" s="1">
        <v>2</v>
      </c>
      <c r="J6" s="1">
        <v>1</v>
      </c>
      <c r="K6" s="1">
        <v>1</v>
      </c>
      <c r="L6" s="1">
        <v>2</v>
      </c>
      <c r="M6" s="1">
        <v>1</v>
      </c>
      <c r="N6" s="1">
        <v>1</v>
      </c>
      <c r="O6" s="1">
        <v>2</v>
      </c>
      <c r="P6" s="1">
        <v>2</v>
      </c>
      <c r="Q6" s="1">
        <v>2</v>
      </c>
      <c r="R6" s="1">
        <v>2</v>
      </c>
      <c r="S6" s="1">
        <v>1</v>
      </c>
      <c r="T6" s="1" t="s">
        <v>34</v>
      </c>
      <c r="U6" s="1" t="s">
        <v>34</v>
      </c>
      <c r="V6" s="1" t="s">
        <v>34</v>
      </c>
      <c r="W6" s="1">
        <v>4</v>
      </c>
      <c r="X6" s="1">
        <v>1</v>
      </c>
      <c r="Y6" s="1">
        <v>4</v>
      </c>
      <c r="Z6" s="1">
        <v>5</v>
      </c>
      <c r="AA6" s="1">
        <v>4</v>
      </c>
      <c r="AB6" s="1">
        <v>4</v>
      </c>
      <c r="AC6" s="1">
        <v>2</v>
      </c>
      <c r="AD6" s="1">
        <v>5</v>
      </c>
      <c r="AE6" s="1">
        <v>4</v>
      </c>
      <c r="AF6" s="1">
        <v>6</v>
      </c>
      <c r="AG6" s="1">
        <v>3</v>
      </c>
      <c r="AH6" s="1">
        <v>2</v>
      </c>
      <c r="AI6" s="1">
        <v>1</v>
      </c>
      <c r="AJ6" s="1">
        <v>1</v>
      </c>
      <c r="AK6" s="1">
        <v>2</v>
      </c>
      <c r="AL6" s="1">
        <v>4</v>
      </c>
      <c r="AM6" s="1">
        <v>2</v>
      </c>
      <c r="AN6" s="1">
        <v>1</v>
      </c>
      <c r="AO6" s="1">
        <v>4</v>
      </c>
      <c r="AP6" s="1">
        <v>4</v>
      </c>
      <c r="AQ6" s="1">
        <v>5</v>
      </c>
      <c r="AR6" s="1">
        <v>5</v>
      </c>
      <c r="AS6" s="16">
        <v>-1.97</v>
      </c>
      <c r="AT6" s="16">
        <v>2.79</v>
      </c>
      <c r="AU6" s="16">
        <v>1.02</v>
      </c>
      <c r="AV6" s="16">
        <v>-1.97</v>
      </c>
      <c r="AW6" s="16">
        <v>1.38</v>
      </c>
      <c r="AX6" s="16">
        <v>0.2</v>
      </c>
      <c r="AY6" s="16">
        <v>-0.87</v>
      </c>
      <c r="AZ6" s="16">
        <v>-1.72</v>
      </c>
      <c r="BA6" s="16">
        <v>-2.04</v>
      </c>
      <c r="BB6" s="16">
        <v>-0.88</v>
      </c>
      <c r="BC6" s="16">
        <v>-2.4</v>
      </c>
      <c r="BD6" s="16">
        <v>-2.84</v>
      </c>
      <c r="BE6" s="16">
        <v>-1.5</v>
      </c>
      <c r="BF6" s="16">
        <v>-0.58</v>
      </c>
      <c r="BG6" s="16" t="s">
        <v>34</v>
      </c>
      <c r="BH6" s="16" t="s">
        <v>34</v>
      </c>
      <c r="BI6" s="16">
        <v>1.22</v>
      </c>
      <c r="BJ6" s="16">
        <v>-1.91</v>
      </c>
      <c r="BK6" s="16">
        <v>-0.38</v>
      </c>
      <c r="BL6" s="16">
        <v>1.85</v>
      </c>
      <c r="BM6" s="16">
        <v>1.09</v>
      </c>
      <c r="BN6" s="16">
        <v>1</v>
      </c>
      <c r="BO6" s="16">
        <v>-0.84</v>
      </c>
      <c r="BP6" s="16">
        <v>2</v>
      </c>
      <c r="BQ6" s="16">
        <v>0.38</v>
      </c>
      <c r="BR6" s="16">
        <v>1.07</v>
      </c>
      <c r="BS6" s="16">
        <v>0</v>
      </c>
      <c r="BT6" s="16">
        <v>-0.06000000000000005</v>
      </c>
      <c r="BU6" s="16">
        <v>-2.05</v>
      </c>
      <c r="BV6" s="16">
        <v>-2.76</v>
      </c>
      <c r="BW6" s="16">
        <v>-0.86</v>
      </c>
      <c r="BX6" s="16">
        <v>1.08</v>
      </c>
      <c r="BY6" s="16">
        <v>-1.22</v>
      </c>
      <c r="BZ6" s="16">
        <v>-2.9</v>
      </c>
      <c r="CA6" s="16" t="s">
        <v>34</v>
      </c>
      <c r="CB6" s="16">
        <v>0.68</v>
      </c>
      <c r="CC6" s="16">
        <v>0.97</v>
      </c>
      <c r="CD6" s="16">
        <v>1.55</v>
      </c>
      <c r="CE6" s="16">
        <v>1.45</v>
      </c>
      <c r="CF6" s="16">
        <v>-0.27833333333333343</v>
      </c>
      <c r="CG6" s="115">
        <v>-0.13498373115123563</v>
      </c>
    </row>
    <row r="7" spans="1:85" ht="12.75">
      <c r="A7" s="3" t="e">
        <f>IF(Demography!#REF!="","",Demography!#REF!)</f>
        <v>#REF!</v>
      </c>
      <c r="B7" s="4">
        <f>IF(Demography!A6="","",Demography!A6)</f>
        <v>1018</v>
      </c>
      <c r="C7" s="1">
        <v>2</v>
      </c>
      <c r="D7" s="1">
        <v>2</v>
      </c>
      <c r="E7" s="1">
        <v>2</v>
      </c>
      <c r="F7" s="1">
        <v>1</v>
      </c>
      <c r="G7" s="1">
        <v>2</v>
      </c>
      <c r="H7" s="1">
        <v>2</v>
      </c>
      <c r="I7" s="1">
        <v>2</v>
      </c>
      <c r="J7" s="1">
        <v>2</v>
      </c>
      <c r="K7" s="1">
        <v>1</v>
      </c>
      <c r="L7" s="1">
        <v>3</v>
      </c>
      <c r="M7" s="1">
        <v>2</v>
      </c>
      <c r="N7" s="1">
        <v>1</v>
      </c>
      <c r="O7" s="1">
        <v>1</v>
      </c>
      <c r="P7" s="1">
        <v>1</v>
      </c>
      <c r="Q7" s="1">
        <v>2</v>
      </c>
      <c r="R7" s="1">
        <v>2</v>
      </c>
      <c r="S7" s="1">
        <v>1</v>
      </c>
      <c r="T7" s="1" t="s">
        <v>34</v>
      </c>
      <c r="U7" s="1" t="s">
        <v>34</v>
      </c>
      <c r="V7" s="1" t="s">
        <v>34</v>
      </c>
      <c r="W7" s="1">
        <v>5</v>
      </c>
      <c r="X7" s="1">
        <v>5</v>
      </c>
      <c r="Y7" s="1">
        <v>5</v>
      </c>
      <c r="Z7" s="1">
        <v>5</v>
      </c>
      <c r="AA7" s="1">
        <v>5</v>
      </c>
      <c r="AB7" s="1">
        <v>5</v>
      </c>
      <c r="AC7" s="1">
        <v>5</v>
      </c>
      <c r="AD7" s="1">
        <v>5</v>
      </c>
      <c r="AE7" s="1">
        <v>5</v>
      </c>
      <c r="AF7" s="1">
        <v>9</v>
      </c>
      <c r="AG7" s="1">
        <v>8</v>
      </c>
      <c r="AH7" s="1">
        <v>1</v>
      </c>
      <c r="AI7" s="1">
        <v>2</v>
      </c>
      <c r="AJ7" s="1">
        <v>1</v>
      </c>
      <c r="AK7" s="1">
        <v>1</v>
      </c>
      <c r="AL7" s="1">
        <v>4</v>
      </c>
      <c r="AM7" s="1">
        <v>1</v>
      </c>
      <c r="AN7" s="1">
        <v>1</v>
      </c>
      <c r="AO7" s="1">
        <v>5</v>
      </c>
      <c r="AP7" s="1">
        <v>5</v>
      </c>
      <c r="AQ7" s="1">
        <v>5</v>
      </c>
      <c r="AR7" s="1">
        <v>5</v>
      </c>
      <c r="AS7" s="16">
        <v>-0.75</v>
      </c>
      <c r="AT7" s="16">
        <v>0.01</v>
      </c>
      <c r="AU7" s="16">
        <v>-0.46</v>
      </c>
      <c r="AV7" s="16">
        <v>-1.97</v>
      </c>
      <c r="AW7" s="16">
        <v>-0.1</v>
      </c>
      <c r="AX7" s="16">
        <v>-0.57</v>
      </c>
      <c r="AY7" s="16">
        <v>-0.87</v>
      </c>
      <c r="AZ7" s="16">
        <v>-0.5</v>
      </c>
      <c r="BA7" s="16">
        <v>-2.04</v>
      </c>
      <c r="BB7" s="16">
        <v>-0.11</v>
      </c>
      <c r="BC7" s="16">
        <v>-1.18</v>
      </c>
      <c r="BD7" s="16">
        <v>-2.84</v>
      </c>
      <c r="BE7" s="16">
        <v>-2.72</v>
      </c>
      <c r="BF7" s="16">
        <v>-1.8</v>
      </c>
      <c r="BG7" s="16" t="s">
        <v>34</v>
      </c>
      <c r="BH7" s="16" t="s">
        <v>34</v>
      </c>
      <c r="BI7" s="16">
        <v>2.52</v>
      </c>
      <c r="BJ7" s="16">
        <v>2.09</v>
      </c>
      <c r="BK7" s="16">
        <v>0.92</v>
      </c>
      <c r="BL7" s="16">
        <v>1.85</v>
      </c>
      <c r="BM7" s="16">
        <v>2.39</v>
      </c>
      <c r="BN7" s="16">
        <v>2.3</v>
      </c>
      <c r="BO7" s="16">
        <v>1.94</v>
      </c>
      <c r="BP7" s="16">
        <v>2</v>
      </c>
      <c r="BQ7" s="16">
        <v>1.68</v>
      </c>
      <c r="BR7" s="16">
        <v>1.07</v>
      </c>
      <c r="BS7" s="16">
        <v>2.01</v>
      </c>
      <c r="BT7" s="16">
        <v>-1.28</v>
      </c>
      <c r="BU7" s="16">
        <v>-0.83</v>
      </c>
      <c r="BV7" s="16">
        <v>-2.76</v>
      </c>
      <c r="BW7" s="16">
        <v>-2.08</v>
      </c>
      <c r="BX7" s="16">
        <v>1.08</v>
      </c>
      <c r="BY7" s="16">
        <v>-2.44</v>
      </c>
      <c r="BZ7" s="16">
        <v>-2.9</v>
      </c>
      <c r="CA7" s="16" t="s">
        <v>34</v>
      </c>
      <c r="CB7" s="16">
        <v>1.98</v>
      </c>
      <c r="CC7" s="16">
        <v>2.27</v>
      </c>
      <c r="CD7" s="16">
        <v>1.55</v>
      </c>
      <c r="CE7" s="16">
        <v>1.45</v>
      </c>
      <c r="CF7" s="16">
        <v>0.02527777777777762</v>
      </c>
      <c r="CG7" s="115">
        <v>-0.0020508388644744496</v>
      </c>
    </row>
    <row r="8" spans="1:85" ht="12.75">
      <c r="A8" s="12" t="e">
        <f>IF(Demography!#REF!="","",Demography!#REF!)</f>
        <v>#REF!</v>
      </c>
      <c r="B8" s="315">
        <f>IF(Demography!A7="","",Demography!A7)</f>
        <v>1106</v>
      </c>
      <c r="C8" s="1">
        <v>1</v>
      </c>
      <c r="D8" s="1">
        <v>2</v>
      </c>
      <c r="E8" s="1">
        <v>3</v>
      </c>
      <c r="F8" s="1">
        <v>2</v>
      </c>
      <c r="G8" s="1">
        <v>3</v>
      </c>
      <c r="H8" s="1">
        <v>3</v>
      </c>
      <c r="I8" s="1">
        <v>2</v>
      </c>
      <c r="J8" s="1">
        <v>1.5</v>
      </c>
      <c r="K8" s="1">
        <v>3</v>
      </c>
      <c r="L8" s="1">
        <v>3</v>
      </c>
      <c r="M8" s="1">
        <v>2.5</v>
      </c>
      <c r="N8" s="1">
        <v>1</v>
      </c>
      <c r="O8" s="1">
        <v>2</v>
      </c>
      <c r="P8" s="1">
        <v>3</v>
      </c>
      <c r="Q8" s="1">
        <v>2</v>
      </c>
      <c r="R8" s="1">
        <v>2</v>
      </c>
      <c r="S8" s="1">
        <v>1</v>
      </c>
      <c r="T8" s="1" t="s">
        <v>34</v>
      </c>
      <c r="U8" s="1" t="s">
        <v>34</v>
      </c>
      <c r="V8" s="1" t="s">
        <v>34</v>
      </c>
      <c r="W8" s="1">
        <v>2.5</v>
      </c>
      <c r="X8" s="1">
        <v>4</v>
      </c>
      <c r="Y8" s="1">
        <v>5</v>
      </c>
      <c r="Z8" s="1">
        <v>5</v>
      </c>
      <c r="AA8" s="1">
        <v>4</v>
      </c>
      <c r="AB8" s="1">
        <v>5</v>
      </c>
      <c r="AC8" s="1">
        <v>4</v>
      </c>
      <c r="AD8" s="1">
        <v>3.5</v>
      </c>
      <c r="AE8" s="1">
        <v>5</v>
      </c>
      <c r="AF8" s="1">
        <v>8</v>
      </c>
      <c r="AG8" s="1">
        <v>6.5</v>
      </c>
      <c r="AH8" s="1">
        <v>3</v>
      </c>
      <c r="AI8" s="1">
        <v>2</v>
      </c>
      <c r="AJ8" s="1">
        <v>1</v>
      </c>
      <c r="AK8" s="1">
        <v>1</v>
      </c>
      <c r="AL8" s="1">
        <v>1</v>
      </c>
      <c r="AM8" s="1">
        <v>3</v>
      </c>
      <c r="AN8" s="1">
        <v>1</v>
      </c>
      <c r="AO8" s="1">
        <v>3</v>
      </c>
      <c r="AP8" s="1">
        <v>3</v>
      </c>
      <c r="AQ8" s="1">
        <v>4</v>
      </c>
      <c r="AR8" s="1">
        <v>5</v>
      </c>
      <c r="AS8" s="16">
        <v>-1.97</v>
      </c>
      <c r="AT8" s="16">
        <v>0.01</v>
      </c>
      <c r="AU8" s="16">
        <v>0.31</v>
      </c>
      <c r="AV8" s="16">
        <v>-0.75</v>
      </c>
      <c r="AW8" s="16">
        <v>0.67</v>
      </c>
      <c r="AX8" s="16">
        <v>0.2</v>
      </c>
      <c r="AY8" s="16">
        <v>-0.87</v>
      </c>
      <c r="AZ8" s="16">
        <v>-1.72</v>
      </c>
      <c r="BA8" s="16">
        <v>-0.05</v>
      </c>
      <c r="BB8" s="16">
        <v>-0.11</v>
      </c>
      <c r="BC8" s="16">
        <v>-1.18</v>
      </c>
      <c r="BD8" s="16">
        <v>-2.84</v>
      </c>
      <c r="BE8" s="16">
        <v>-1.5</v>
      </c>
      <c r="BF8" s="16">
        <v>0.19</v>
      </c>
      <c r="BG8" s="16" t="s">
        <v>34</v>
      </c>
      <c r="BH8" s="16" t="s">
        <v>34</v>
      </c>
      <c r="BI8" s="16">
        <v>-0.26</v>
      </c>
      <c r="BJ8" s="16">
        <v>0.79</v>
      </c>
      <c r="BK8" s="16">
        <v>0.92</v>
      </c>
      <c r="BL8" s="16">
        <v>1.85</v>
      </c>
      <c r="BM8" s="16">
        <v>1.09</v>
      </c>
      <c r="BN8" s="16">
        <v>2.3</v>
      </c>
      <c r="BO8" s="16">
        <v>0.64</v>
      </c>
      <c r="BP8" s="16">
        <v>-0.01</v>
      </c>
      <c r="BQ8" s="16">
        <v>1.68</v>
      </c>
      <c r="BR8" s="16">
        <v>1.07</v>
      </c>
      <c r="BS8" s="16">
        <v>2.01</v>
      </c>
      <c r="BT8" s="16">
        <v>0.71</v>
      </c>
      <c r="BU8" s="16">
        <v>-0.83</v>
      </c>
      <c r="BV8" s="16">
        <v>-2.76</v>
      </c>
      <c r="BW8" s="16">
        <v>-2.08</v>
      </c>
      <c r="BX8" s="16">
        <v>-1.62</v>
      </c>
      <c r="BY8" s="16">
        <v>-0.45</v>
      </c>
      <c r="BZ8" s="16">
        <v>-2.9</v>
      </c>
      <c r="CA8" s="16" t="s">
        <v>34</v>
      </c>
      <c r="CB8" s="16">
        <v>-0.03</v>
      </c>
      <c r="CC8" s="16">
        <v>0.26</v>
      </c>
      <c r="CD8" s="16">
        <v>0.25</v>
      </c>
      <c r="CE8" s="16">
        <v>1.45</v>
      </c>
      <c r="CF8" s="16"/>
      <c r="CG8" s="115"/>
    </row>
    <row r="9" spans="1:85" ht="12.75">
      <c r="A9" s="3" t="e">
        <f>IF(Demography!#REF!="","",Demography!#REF!)</f>
        <v>#REF!</v>
      </c>
      <c r="B9" s="4">
        <f>IF(Demography!A8="","",Demography!A8)</f>
        <v>1109</v>
      </c>
      <c r="C9" s="1">
        <v>3</v>
      </c>
      <c r="D9" s="1">
        <v>4</v>
      </c>
      <c r="E9" s="1">
        <v>5</v>
      </c>
      <c r="F9" s="1">
        <v>1</v>
      </c>
      <c r="G9" s="1">
        <v>5</v>
      </c>
      <c r="H9" s="1">
        <v>4</v>
      </c>
      <c r="I9" s="1">
        <v>4</v>
      </c>
      <c r="J9" s="1">
        <v>2</v>
      </c>
      <c r="K9" s="1">
        <v>3</v>
      </c>
      <c r="L9" s="1">
        <v>4</v>
      </c>
      <c r="M9" s="1">
        <v>4</v>
      </c>
      <c r="N9" s="1">
        <v>4</v>
      </c>
      <c r="O9" s="1">
        <v>3</v>
      </c>
      <c r="P9" s="1">
        <v>5</v>
      </c>
      <c r="Q9" s="1">
        <v>2</v>
      </c>
      <c r="R9" s="1">
        <v>2</v>
      </c>
      <c r="S9" s="1">
        <v>1</v>
      </c>
      <c r="T9" s="1" t="s">
        <v>34</v>
      </c>
      <c r="U9" s="1" t="s">
        <v>34</v>
      </c>
      <c r="V9" s="1" t="s">
        <v>34</v>
      </c>
      <c r="W9" s="1">
        <v>2</v>
      </c>
      <c r="X9" s="1">
        <v>1</v>
      </c>
      <c r="Y9" s="1">
        <v>5</v>
      </c>
      <c r="Z9" s="1">
        <v>4</v>
      </c>
      <c r="AA9" s="1">
        <v>1</v>
      </c>
      <c r="AB9" s="1">
        <v>1</v>
      </c>
      <c r="AC9" s="1">
        <v>1</v>
      </c>
      <c r="AD9" s="1">
        <v>3</v>
      </c>
      <c r="AE9" s="1">
        <v>4</v>
      </c>
      <c r="AF9" s="1">
        <v>6</v>
      </c>
      <c r="AG9" s="1">
        <v>4</v>
      </c>
      <c r="AH9" s="1">
        <v>3</v>
      </c>
      <c r="AI9" s="1">
        <v>4</v>
      </c>
      <c r="AJ9" s="1">
        <v>5</v>
      </c>
      <c r="AK9" s="1">
        <v>4</v>
      </c>
      <c r="AL9" s="1">
        <v>5</v>
      </c>
      <c r="AM9" s="1">
        <v>3</v>
      </c>
      <c r="AN9" s="1">
        <v>2</v>
      </c>
      <c r="AO9" s="1">
        <v>3</v>
      </c>
      <c r="AP9" s="1">
        <v>1</v>
      </c>
      <c r="AQ9" s="1">
        <v>1</v>
      </c>
      <c r="AR9" s="1">
        <v>4</v>
      </c>
      <c r="AS9" s="16">
        <v>0.02</v>
      </c>
      <c r="AT9" s="16">
        <v>1.49</v>
      </c>
      <c r="AU9" s="16">
        <v>2.32</v>
      </c>
      <c r="AV9" s="16">
        <v>-1.97</v>
      </c>
      <c r="AW9" s="16">
        <v>2.68</v>
      </c>
      <c r="AX9" s="16">
        <v>0.91</v>
      </c>
      <c r="AY9" s="16">
        <v>0.61</v>
      </c>
      <c r="AZ9" s="16">
        <v>-0.5</v>
      </c>
      <c r="BA9" s="16">
        <v>-0.05</v>
      </c>
      <c r="BB9" s="16">
        <v>0.6</v>
      </c>
      <c r="BC9" s="16">
        <v>0.3</v>
      </c>
      <c r="BD9" s="16">
        <v>-0.14</v>
      </c>
      <c r="BE9" s="16">
        <v>-0.73</v>
      </c>
      <c r="BF9" s="16">
        <v>2.2</v>
      </c>
      <c r="BG9" s="16" t="s">
        <v>34</v>
      </c>
      <c r="BH9" s="16" t="s">
        <v>34</v>
      </c>
      <c r="BI9" s="16">
        <v>-0.26</v>
      </c>
      <c r="BJ9" s="16">
        <v>-1.91</v>
      </c>
      <c r="BK9" s="16">
        <v>0.92</v>
      </c>
      <c r="BL9" s="16">
        <v>0.55</v>
      </c>
      <c r="BM9" s="16">
        <v>-1.61</v>
      </c>
      <c r="BN9" s="16">
        <v>-1.7</v>
      </c>
      <c r="BO9" s="16">
        <v>-2.06</v>
      </c>
      <c r="BP9" s="16">
        <v>-0.01</v>
      </c>
      <c r="BQ9" s="16">
        <v>0.38</v>
      </c>
      <c r="BR9" s="16">
        <v>1.07</v>
      </c>
      <c r="BS9" s="16">
        <v>0.71</v>
      </c>
      <c r="BT9" s="16">
        <v>0.71</v>
      </c>
      <c r="BU9" s="16">
        <v>0.65</v>
      </c>
      <c r="BV9" s="16">
        <v>1.24</v>
      </c>
      <c r="BW9" s="16">
        <v>0.62</v>
      </c>
      <c r="BX9" s="16">
        <v>2.38</v>
      </c>
      <c r="BY9" s="16">
        <v>-0.45</v>
      </c>
      <c r="BZ9" s="16">
        <v>-1.68</v>
      </c>
      <c r="CA9" s="16" t="s">
        <v>34</v>
      </c>
      <c r="CB9" s="16">
        <v>-0.03</v>
      </c>
      <c r="CC9" s="16">
        <v>-1.73</v>
      </c>
      <c r="CD9" s="16">
        <v>-2.45</v>
      </c>
      <c r="CE9" s="16">
        <v>0.15</v>
      </c>
      <c r="CF9" s="16">
        <v>0.08972222222222224</v>
      </c>
      <c r="CG9" s="115">
        <v>0.025944744914200214</v>
      </c>
    </row>
    <row r="10" spans="1:85" ht="12.75">
      <c r="A10" s="12" t="e">
        <f>IF(Demography!#REF!="","",Demography!#REF!)</f>
        <v>#REF!</v>
      </c>
      <c r="B10" s="315">
        <f>IF(Demography!A9="","",Demography!A9)</f>
        <v>1054</v>
      </c>
      <c r="C10" s="1">
        <v>3</v>
      </c>
      <c r="D10" s="1">
        <v>4</v>
      </c>
      <c r="E10" s="1">
        <v>5</v>
      </c>
      <c r="F10" s="1">
        <v>2</v>
      </c>
      <c r="G10" s="1">
        <v>5</v>
      </c>
      <c r="H10" s="1">
        <v>3</v>
      </c>
      <c r="I10" s="1">
        <v>3</v>
      </c>
      <c r="J10" s="1">
        <v>3</v>
      </c>
      <c r="K10" s="1">
        <v>3</v>
      </c>
      <c r="L10" s="1">
        <v>4</v>
      </c>
      <c r="M10" s="1">
        <v>4</v>
      </c>
      <c r="N10" s="1">
        <v>1</v>
      </c>
      <c r="O10" s="1">
        <v>1</v>
      </c>
      <c r="P10" s="1">
        <v>5</v>
      </c>
      <c r="Q10" s="1">
        <v>2</v>
      </c>
      <c r="R10" s="1" t="s">
        <v>34</v>
      </c>
      <c r="S10" s="1" t="s">
        <v>34</v>
      </c>
      <c r="T10" s="1">
        <v>4</v>
      </c>
      <c r="U10" s="1">
        <v>5</v>
      </c>
      <c r="V10" s="1">
        <v>5</v>
      </c>
      <c r="W10" s="1">
        <v>1</v>
      </c>
      <c r="X10" s="1">
        <v>1</v>
      </c>
      <c r="Y10" s="1">
        <v>5</v>
      </c>
      <c r="Z10" s="1">
        <v>2</v>
      </c>
      <c r="AA10" s="1">
        <v>1</v>
      </c>
      <c r="AB10" s="1">
        <v>1</v>
      </c>
      <c r="AC10" s="1">
        <v>2</v>
      </c>
      <c r="AD10" s="1">
        <v>1</v>
      </c>
      <c r="AE10" s="1">
        <v>1</v>
      </c>
      <c r="AF10" s="1">
        <v>5</v>
      </c>
      <c r="AG10" s="1">
        <v>4</v>
      </c>
      <c r="AH10" s="1">
        <v>4</v>
      </c>
      <c r="AI10" s="1">
        <v>4</v>
      </c>
      <c r="AJ10" s="1">
        <v>3</v>
      </c>
      <c r="AK10" s="1">
        <v>4</v>
      </c>
      <c r="AL10" s="1">
        <v>4</v>
      </c>
      <c r="AM10" s="1">
        <v>2</v>
      </c>
      <c r="AN10" s="1">
        <v>2</v>
      </c>
      <c r="AO10" s="1">
        <v>2</v>
      </c>
      <c r="AP10" s="1">
        <v>2</v>
      </c>
      <c r="AQ10" s="1">
        <v>3</v>
      </c>
      <c r="AR10" s="1">
        <v>3</v>
      </c>
      <c r="AS10" s="16">
        <v>0.02</v>
      </c>
      <c r="AT10" s="16">
        <v>1.49</v>
      </c>
      <c r="AU10" s="16">
        <v>2.32</v>
      </c>
      <c r="AV10" s="16">
        <v>-0.75</v>
      </c>
      <c r="AW10" s="16">
        <v>2.68</v>
      </c>
      <c r="AX10" s="16">
        <v>0.2</v>
      </c>
      <c r="AY10" s="16">
        <v>-0.1</v>
      </c>
      <c r="AZ10" s="16">
        <v>0.27</v>
      </c>
      <c r="BA10" s="16">
        <v>-0.05</v>
      </c>
      <c r="BB10" s="16">
        <v>0.6</v>
      </c>
      <c r="BC10" s="16">
        <v>0.3</v>
      </c>
      <c r="BD10" s="16">
        <v>-2.84</v>
      </c>
      <c r="BE10" s="16">
        <v>-2.72</v>
      </c>
      <c r="BF10" s="16">
        <v>2.2</v>
      </c>
      <c r="BG10" s="16">
        <v>1.46</v>
      </c>
      <c r="BH10" s="16">
        <v>3.77</v>
      </c>
      <c r="BI10" s="16">
        <v>-1.48</v>
      </c>
      <c r="BJ10" s="16">
        <v>-1.91</v>
      </c>
      <c r="BK10" s="16">
        <v>0.92</v>
      </c>
      <c r="BL10" s="16">
        <v>-0.93</v>
      </c>
      <c r="BM10" s="16">
        <v>-1.61</v>
      </c>
      <c r="BN10" s="16">
        <v>-1.7</v>
      </c>
      <c r="BO10" s="16">
        <v>-0.84</v>
      </c>
      <c r="BP10" s="16">
        <v>-2</v>
      </c>
      <c r="BQ10" s="16">
        <v>-2.32</v>
      </c>
      <c r="BR10" s="16">
        <v>1.07</v>
      </c>
      <c r="BS10" s="16">
        <v>0.71</v>
      </c>
      <c r="BT10" s="16">
        <v>1.42</v>
      </c>
      <c r="BU10" s="16">
        <v>0.65</v>
      </c>
      <c r="BV10" s="16">
        <v>-0.77</v>
      </c>
      <c r="BW10" s="16">
        <v>0.62</v>
      </c>
      <c r="BX10" s="16">
        <v>1.08</v>
      </c>
      <c r="BY10" s="16">
        <v>-1.22</v>
      </c>
      <c r="BZ10" s="16">
        <v>-1.68</v>
      </c>
      <c r="CA10" s="16">
        <v>3.41</v>
      </c>
      <c r="CB10" s="16">
        <v>-0.8</v>
      </c>
      <c r="CC10" s="16">
        <v>-0.51</v>
      </c>
      <c r="CD10" s="16">
        <v>-0.46</v>
      </c>
      <c r="CE10" s="16">
        <v>-0.56</v>
      </c>
      <c r="CF10" s="16">
        <v>-0.0015384615384615484</v>
      </c>
      <c r="CG10" s="115">
        <v>-0.013698115319738559</v>
      </c>
    </row>
    <row r="11" spans="1:85" ht="12.75">
      <c r="A11" s="3" t="e">
        <f>IF(Demography!#REF!="","",Demography!#REF!)</f>
        <v>#REF!</v>
      </c>
      <c r="B11" s="4">
        <f>IF(Demography!A10="","",Demography!A10)</f>
        <v>1141</v>
      </c>
      <c r="C11" s="1">
        <v>3</v>
      </c>
      <c r="D11" s="1">
        <v>2</v>
      </c>
      <c r="E11" s="1">
        <v>2</v>
      </c>
      <c r="F11" s="1">
        <v>1</v>
      </c>
      <c r="G11" s="1">
        <v>2</v>
      </c>
      <c r="H11" s="1">
        <v>2</v>
      </c>
      <c r="I11" s="1">
        <v>3</v>
      </c>
      <c r="J11" s="1">
        <v>3</v>
      </c>
      <c r="K11" s="1">
        <v>3</v>
      </c>
      <c r="L11" s="1">
        <v>4</v>
      </c>
      <c r="M11" s="1">
        <v>2</v>
      </c>
      <c r="N11" s="1">
        <v>4</v>
      </c>
      <c r="O11" s="1">
        <v>3</v>
      </c>
      <c r="P11" s="1">
        <v>2</v>
      </c>
      <c r="Q11" s="1">
        <v>2</v>
      </c>
      <c r="R11" s="1">
        <v>2</v>
      </c>
      <c r="S11" s="1">
        <v>1</v>
      </c>
      <c r="T11" s="1" t="s">
        <v>34</v>
      </c>
      <c r="U11" s="1" t="s">
        <v>34</v>
      </c>
      <c r="V11" s="1" t="s">
        <v>34</v>
      </c>
      <c r="W11" s="1">
        <v>3</v>
      </c>
      <c r="X11" s="1">
        <v>2</v>
      </c>
      <c r="Y11" s="1">
        <v>1</v>
      </c>
      <c r="Z11" s="1">
        <v>4</v>
      </c>
      <c r="AA11" s="1">
        <v>2</v>
      </c>
      <c r="AB11" s="1">
        <v>2</v>
      </c>
      <c r="AC11" s="1">
        <v>2</v>
      </c>
      <c r="AD11" s="1">
        <v>2</v>
      </c>
      <c r="AE11" s="1">
        <v>2</v>
      </c>
      <c r="AF11" s="1">
        <v>7</v>
      </c>
      <c r="AG11" s="1">
        <v>5</v>
      </c>
      <c r="AH11" s="1">
        <v>2</v>
      </c>
      <c r="AI11" s="1">
        <v>2</v>
      </c>
      <c r="AJ11" s="1">
        <v>1</v>
      </c>
      <c r="AK11" s="1">
        <v>3</v>
      </c>
      <c r="AL11" s="1">
        <v>2</v>
      </c>
      <c r="AM11" s="1">
        <v>2</v>
      </c>
      <c r="AN11" s="1">
        <v>1</v>
      </c>
      <c r="AO11" s="1">
        <v>3</v>
      </c>
      <c r="AP11" s="1">
        <v>3</v>
      </c>
      <c r="AQ11" s="1">
        <v>4</v>
      </c>
      <c r="AR11" s="1">
        <v>2</v>
      </c>
      <c r="AS11" s="16">
        <v>0.02</v>
      </c>
      <c r="AT11" s="16">
        <v>0.01</v>
      </c>
      <c r="AU11" s="16">
        <v>-0.46</v>
      </c>
      <c r="AV11" s="16">
        <v>-1.97</v>
      </c>
      <c r="AW11" s="16">
        <v>-0.1</v>
      </c>
      <c r="AX11" s="16">
        <v>-0.57</v>
      </c>
      <c r="AY11" s="16">
        <v>-0.1</v>
      </c>
      <c r="AZ11" s="16">
        <v>0.27</v>
      </c>
      <c r="BA11" s="16">
        <v>-0.05</v>
      </c>
      <c r="BB11" s="16">
        <v>0.6</v>
      </c>
      <c r="BC11" s="16">
        <v>-1.18</v>
      </c>
      <c r="BD11" s="16">
        <v>-0.14</v>
      </c>
      <c r="BE11" s="16">
        <v>-0.73</v>
      </c>
      <c r="BF11" s="16">
        <v>-0.58</v>
      </c>
      <c r="BG11" s="16" t="s">
        <v>34</v>
      </c>
      <c r="BH11" s="16" t="s">
        <v>34</v>
      </c>
      <c r="BI11" s="16">
        <v>0.51</v>
      </c>
      <c r="BJ11" s="16">
        <v>-0.69</v>
      </c>
      <c r="BK11" s="16">
        <v>-3.08</v>
      </c>
      <c r="BL11" s="16">
        <v>0.55</v>
      </c>
      <c r="BM11" s="16">
        <v>-0.39</v>
      </c>
      <c r="BN11" s="16">
        <v>-0.48</v>
      </c>
      <c r="BO11" s="16">
        <v>-0.84</v>
      </c>
      <c r="BP11" s="16">
        <v>-0.78</v>
      </c>
      <c r="BQ11" s="16">
        <v>-1.1</v>
      </c>
      <c r="BR11" s="16">
        <v>1.07</v>
      </c>
      <c r="BS11" s="16">
        <v>2.01</v>
      </c>
      <c r="BT11" s="16">
        <v>-0.06000000000000005</v>
      </c>
      <c r="BU11" s="16">
        <v>-0.83</v>
      </c>
      <c r="BV11" s="16">
        <v>-2.76</v>
      </c>
      <c r="BW11" s="16">
        <v>-0.09</v>
      </c>
      <c r="BX11" s="16">
        <v>-0.4</v>
      </c>
      <c r="BY11" s="16">
        <v>-1.22</v>
      </c>
      <c r="BZ11" s="16">
        <v>-2.9</v>
      </c>
      <c r="CA11" s="16" t="s">
        <v>34</v>
      </c>
      <c r="CB11" s="16">
        <v>-0.03</v>
      </c>
      <c r="CC11" s="16">
        <v>0.26</v>
      </c>
      <c r="CD11" s="16">
        <v>0.25</v>
      </c>
      <c r="CE11" s="16">
        <v>-1.33</v>
      </c>
      <c r="CF11" s="16"/>
      <c r="CG11" s="115"/>
    </row>
    <row r="12" spans="1:85" ht="12.75">
      <c r="A12" s="3" t="e">
        <f>IF(Demography!#REF!="","",Demography!#REF!)</f>
        <v>#REF!</v>
      </c>
      <c r="B12" s="4">
        <f>IF(Demography!A11="","",Demography!A11)</f>
        <v>992</v>
      </c>
      <c r="C12" s="1">
        <v>2</v>
      </c>
      <c r="D12" s="1">
        <v>1</v>
      </c>
      <c r="E12" s="1">
        <v>3</v>
      </c>
      <c r="F12" s="1">
        <v>4</v>
      </c>
      <c r="G12" s="1">
        <v>3</v>
      </c>
      <c r="H12" s="1">
        <v>3</v>
      </c>
      <c r="I12" s="1">
        <v>3</v>
      </c>
      <c r="J12" s="1">
        <v>2</v>
      </c>
      <c r="K12" s="1">
        <v>2</v>
      </c>
      <c r="L12" s="1">
        <v>3</v>
      </c>
      <c r="M12" s="1">
        <v>3</v>
      </c>
      <c r="N12" s="1">
        <v>1</v>
      </c>
      <c r="O12" s="1">
        <v>2</v>
      </c>
      <c r="P12" s="1">
        <v>2</v>
      </c>
      <c r="Q12" s="1">
        <v>2</v>
      </c>
      <c r="R12" s="1">
        <v>2</v>
      </c>
      <c r="S12" s="1">
        <v>3</v>
      </c>
      <c r="T12" s="1" t="s">
        <v>34</v>
      </c>
      <c r="U12" s="1" t="s">
        <v>34</v>
      </c>
      <c r="V12" s="1" t="s">
        <v>34</v>
      </c>
      <c r="W12" s="1">
        <v>3</v>
      </c>
      <c r="X12" s="1">
        <v>4</v>
      </c>
      <c r="Y12" s="1">
        <v>5</v>
      </c>
      <c r="Z12" s="1">
        <v>5</v>
      </c>
      <c r="AA12" s="1">
        <v>5</v>
      </c>
      <c r="AB12" s="1">
        <v>3</v>
      </c>
      <c r="AC12" s="1">
        <v>2</v>
      </c>
      <c r="AD12" s="1">
        <v>4</v>
      </c>
      <c r="AE12" s="1">
        <v>4</v>
      </c>
      <c r="AF12" s="1">
        <v>9</v>
      </c>
      <c r="AG12" s="1">
        <v>10</v>
      </c>
      <c r="AH12" s="1">
        <v>2</v>
      </c>
      <c r="AI12" s="1">
        <v>2</v>
      </c>
      <c r="AJ12" s="1">
        <v>2</v>
      </c>
      <c r="AK12" s="1">
        <v>3</v>
      </c>
      <c r="AL12" s="1">
        <v>3</v>
      </c>
      <c r="AM12" s="1">
        <v>1</v>
      </c>
      <c r="AN12" s="1">
        <v>1</v>
      </c>
      <c r="AO12" s="1">
        <v>4</v>
      </c>
      <c r="AP12" s="1">
        <v>4</v>
      </c>
      <c r="AQ12" s="1">
        <v>4</v>
      </c>
      <c r="AR12" s="1">
        <v>4</v>
      </c>
      <c r="AS12" s="16">
        <v>-0.75</v>
      </c>
      <c r="AT12" s="16">
        <v>-1.21</v>
      </c>
      <c r="AU12" s="16">
        <v>0.31</v>
      </c>
      <c r="AV12" s="16">
        <v>0.73</v>
      </c>
      <c r="AW12" s="16">
        <v>0.67</v>
      </c>
      <c r="AX12" s="16">
        <v>0.2</v>
      </c>
      <c r="AY12" s="16">
        <v>-0.1</v>
      </c>
      <c r="AZ12" s="16">
        <v>-0.5</v>
      </c>
      <c r="BA12" s="16">
        <v>-0.82</v>
      </c>
      <c r="BB12" s="16">
        <v>-0.11</v>
      </c>
      <c r="BC12" s="16">
        <v>-0.41</v>
      </c>
      <c r="BD12" s="16">
        <v>-2.84</v>
      </c>
      <c r="BE12" s="16">
        <v>-1.5</v>
      </c>
      <c r="BF12" s="16">
        <v>-0.58</v>
      </c>
      <c r="BG12" s="16" t="s">
        <v>34</v>
      </c>
      <c r="BH12" s="16" t="s">
        <v>34</v>
      </c>
      <c r="BI12" s="16">
        <v>0.51</v>
      </c>
      <c r="BJ12" s="16">
        <v>0.79</v>
      </c>
      <c r="BK12" s="16">
        <v>0.92</v>
      </c>
      <c r="BL12" s="16">
        <v>1.85</v>
      </c>
      <c r="BM12" s="16">
        <v>2.39</v>
      </c>
      <c r="BN12" s="16">
        <v>0.29</v>
      </c>
      <c r="BO12" s="16">
        <v>-0.84</v>
      </c>
      <c r="BP12" s="16">
        <v>0.7</v>
      </c>
      <c r="BQ12" s="16">
        <v>0.38</v>
      </c>
      <c r="BR12" s="16">
        <v>1.07</v>
      </c>
      <c r="BS12" s="16">
        <v>2.01</v>
      </c>
      <c r="BT12" s="16">
        <v>-0.06000000000000005</v>
      </c>
      <c r="BU12" s="16">
        <v>-0.83</v>
      </c>
      <c r="BV12" s="16">
        <v>-1.54</v>
      </c>
      <c r="BW12" s="16">
        <v>-0.09</v>
      </c>
      <c r="BX12" s="16">
        <v>0.37</v>
      </c>
      <c r="BY12" s="16">
        <v>-2.44</v>
      </c>
      <c r="BZ12" s="16">
        <v>-2.9</v>
      </c>
      <c r="CA12" s="16" t="s">
        <v>34</v>
      </c>
      <c r="CB12" s="16">
        <v>0.68</v>
      </c>
      <c r="CC12" s="16">
        <v>0.97</v>
      </c>
      <c r="CD12" s="16">
        <v>0.25</v>
      </c>
      <c r="CE12" s="16">
        <v>0.15</v>
      </c>
      <c r="CF12" s="16">
        <v>-0.06333333333333338</v>
      </c>
      <c r="CG12" s="115">
        <v>-0.040563614944171975</v>
      </c>
    </row>
    <row r="13" spans="1:85" ht="12.75">
      <c r="A13" s="3" t="e">
        <f>IF(Demography!#REF!="","",Demography!#REF!)</f>
        <v>#REF!</v>
      </c>
      <c r="B13" s="4">
        <f>IF(Demography!A12="","",Demography!A12)</f>
        <v>1163</v>
      </c>
      <c r="C13" s="1">
        <v>2</v>
      </c>
      <c r="D13" s="1">
        <v>2</v>
      </c>
      <c r="E13" s="1">
        <v>2</v>
      </c>
      <c r="F13" s="1">
        <v>1</v>
      </c>
      <c r="G13" s="1">
        <v>1</v>
      </c>
      <c r="H13" s="1">
        <v>1</v>
      </c>
      <c r="I13" s="1">
        <v>2</v>
      </c>
      <c r="J13" s="1">
        <v>2</v>
      </c>
      <c r="K13" s="1">
        <v>1</v>
      </c>
      <c r="L13" s="1">
        <v>4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 t="s">
        <v>34</v>
      </c>
      <c r="S13" s="1" t="s">
        <v>34</v>
      </c>
      <c r="T13" s="1">
        <v>2</v>
      </c>
      <c r="U13" s="1">
        <v>6</v>
      </c>
      <c r="V13" s="1">
        <v>6</v>
      </c>
      <c r="W13" s="1">
        <v>5</v>
      </c>
      <c r="X13" s="1">
        <v>4</v>
      </c>
      <c r="Y13" s="1">
        <v>5</v>
      </c>
      <c r="Z13" s="1">
        <v>5</v>
      </c>
      <c r="AA13" s="1">
        <v>4</v>
      </c>
      <c r="AB13" s="1">
        <v>3</v>
      </c>
      <c r="AC13" s="1">
        <v>4</v>
      </c>
      <c r="AD13" s="1">
        <v>4</v>
      </c>
      <c r="AE13" s="1">
        <v>5</v>
      </c>
      <c r="AF13" s="1">
        <v>9</v>
      </c>
      <c r="AG13" s="1">
        <v>7</v>
      </c>
      <c r="AH13" s="1">
        <v>1</v>
      </c>
      <c r="AI13" s="1">
        <v>6</v>
      </c>
      <c r="AJ13" s="1">
        <v>1</v>
      </c>
      <c r="AK13" s="1">
        <v>2</v>
      </c>
      <c r="AL13" s="1">
        <v>2</v>
      </c>
      <c r="AM13" s="1">
        <v>1</v>
      </c>
      <c r="AN13" s="1">
        <v>1</v>
      </c>
      <c r="AO13" s="1">
        <v>5</v>
      </c>
      <c r="AP13" s="1">
        <v>5</v>
      </c>
      <c r="AQ13" s="1">
        <v>3</v>
      </c>
      <c r="AR13" s="1">
        <v>5</v>
      </c>
      <c r="AS13" s="16">
        <v>-0.75</v>
      </c>
      <c r="AT13" s="16">
        <v>0.01</v>
      </c>
      <c r="AU13" s="16">
        <v>-0.46</v>
      </c>
      <c r="AV13" s="16">
        <v>-1.97</v>
      </c>
      <c r="AW13" s="16">
        <v>-1.32</v>
      </c>
      <c r="AX13" s="16">
        <v>-1.79</v>
      </c>
      <c r="AY13" s="16">
        <v>-0.87</v>
      </c>
      <c r="AZ13" s="16">
        <v>-0.5</v>
      </c>
      <c r="BA13" s="16">
        <v>-2.04</v>
      </c>
      <c r="BB13" s="16">
        <v>0.6</v>
      </c>
      <c r="BC13" s="16">
        <v>-2.4</v>
      </c>
      <c r="BD13" s="16">
        <v>-2.84</v>
      </c>
      <c r="BE13" s="16">
        <v>-2.72</v>
      </c>
      <c r="BF13" s="16">
        <v>-1.8</v>
      </c>
      <c r="BG13" s="16">
        <v>-0.02</v>
      </c>
      <c r="BH13" s="16">
        <v>3.77</v>
      </c>
      <c r="BI13" s="16">
        <v>2.52</v>
      </c>
      <c r="BJ13" s="16">
        <v>0.79</v>
      </c>
      <c r="BK13" s="16">
        <v>0.92</v>
      </c>
      <c r="BL13" s="16">
        <v>1.85</v>
      </c>
      <c r="BM13" s="16">
        <v>1.09</v>
      </c>
      <c r="BN13" s="16">
        <v>0.29</v>
      </c>
      <c r="BO13" s="16">
        <v>0.64</v>
      </c>
      <c r="BP13" s="16">
        <v>0.7</v>
      </c>
      <c r="BQ13" s="16">
        <v>1.68</v>
      </c>
      <c r="BR13" s="16">
        <v>1.07</v>
      </c>
      <c r="BS13" s="16">
        <v>2.01</v>
      </c>
      <c r="BT13" s="16">
        <v>-1.28</v>
      </c>
      <c r="BU13" s="16">
        <v>1.95</v>
      </c>
      <c r="BV13" s="16">
        <v>-2.76</v>
      </c>
      <c r="BW13" s="16">
        <v>-0.86</v>
      </c>
      <c r="BX13" s="16">
        <v>-0.4</v>
      </c>
      <c r="BY13" s="16">
        <v>-2.44</v>
      </c>
      <c r="BZ13" s="16">
        <v>-2.9</v>
      </c>
      <c r="CA13" s="16">
        <v>3.41</v>
      </c>
      <c r="CB13" s="16">
        <v>1.98</v>
      </c>
      <c r="CC13" s="16">
        <v>2.27</v>
      </c>
      <c r="CD13" s="16">
        <v>-0.46</v>
      </c>
      <c r="CE13" s="16">
        <v>1.45</v>
      </c>
      <c r="CF13" s="16">
        <v>-0.04051282051282064</v>
      </c>
      <c r="CG13" s="115">
        <v>-0.03063602673725953</v>
      </c>
    </row>
    <row r="14" spans="1:85" ht="12.75">
      <c r="A14" s="3" t="e">
        <f>IF(Demography!#REF!="","",Demography!#REF!)</f>
        <v>#REF!</v>
      </c>
      <c r="B14" s="4">
        <f>IF(Demography!A13="","",Demography!A13)</f>
        <v>1190</v>
      </c>
      <c r="C14" s="1">
        <v>3</v>
      </c>
      <c r="D14" s="1">
        <v>4</v>
      </c>
      <c r="E14" s="1">
        <v>4</v>
      </c>
      <c r="F14" s="1">
        <v>1</v>
      </c>
      <c r="G14" s="1">
        <v>3</v>
      </c>
      <c r="H14" s="1">
        <v>3</v>
      </c>
      <c r="I14" s="1">
        <v>3</v>
      </c>
      <c r="J14" s="1">
        <v>2</v>
      </c>
      <c r="K14" s="1">
        <v>3</v>
      </c>
      <c r="L14" s="1">
        <v>4</v>
      </c>
      <c r="M14" s="1">
        <v>3</v>
      </c>
      <c r="N14" s="1">
        <v>1</v>
      </c>
      <c r="O14" s="1">
        <v>4</v>
      </c>
      <c r="P14" s="1">
        <v>4</v>
      </c>
      <c r="Q14" s="1">
        <v>2</v>
      </c>
      <c r="R14" s="1">
        <v>2</v>
      </c>
      <c r="S14" s="1">
        <v>1</v>
      </c>
      <c r="T14" s="1">
        <v>3</v>
      </c>
      <c r="U14" s="1">
        <v>5</v>
      </c>
      <c r="V14" s="1">
        <v>5</v>
      </c>
      <c r="W14" s="1">
        <v>2</v>
      </c>
      <c r="X14" s="1">
        <v>1</v>
      </c>
      <c r="Y14" s="1">
        <v>5</v>
      </c>
      <c r="Z14" s="1">
        <v>2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6</v>
      </c>
      <c r="AG14" s="1">
        <v>2</v>
      </c>
      <c r="AH14" s="1">
        <v>2</v>
      </c>
      <c r="AI14" s="1">
        <v>2</v>
      </c>
      <c r="AJ14" s="1">
        <v>1</v>
      </c>
      <c r="AK14" s="1">
        <v>2</v>
      </c>
      <c r="AL14" s="1">
        <v>4</v>
      </c>
      <c r="AM14" s="1">
        <v>4</v>
      </c>
      <c r="AN14" s="1">
        <v>4</v>
      </c>
      <c r="AO14" s="1">
        <v>1</v>
      </c>
      <c r="AP14" s="1">
        <v>2</v>
      </c>
      <c r="AQ14" s="1">
        <v>2</v>
      </c>
      <c r="AR14" s="1">
        <v>2</v>
      </c>
      <c r="AS14" s="16">
        <v>0.02</v>
      </c>
      <c r="AT14" s="16">
        <v>1.49</v>
      </c>
      <c r="AU14" s="16">
        <v>1.02</v>
      </c>
      <c r="AV14" s="16">
        <v>-1.97</v>
      </c>
      <c r="AW14" s="16">
        <v>0.67</v>
      </c>
      <c r="AX14" s="16">
        <v>0.2</v>
      </c>
      <c r="AY14" s="16">
        <v>-0.1</v>
      </c>
      <c r="AZ14" s="16">
        <v>-0.5</v>
      </c>
      <c r="BA14" s="16">
        <v>-0.05</v>
      </c>
      <c r="BB14" s="16">
        <v>0.6</v>
      </c>
      <c r="BC14" s="16">
        <v>-0.41</v>
      </c>
      <c r="BD14" s="16">
        <v>-2.84</v>
      </c>
      <c r="BE14" s="16">
        <v>-0.02</v>
      </c>
      <c r="BF14" s="16">
        <v>0.9</v>
      </c>
      <c r="BG14" s="16">
        <v>0.75</v>
      </c>
      <c r="BH14" s="16">
        <v>3.77</v>
      </c>
      <c r="BI14" s="16">
        <v>-0.26</v>
      </c>
      <c r="BJ14" s="16">
        <v>-1.91</v>
      </c>
      <c r="BK14" s="16">
        <v>0.92</v>
      </c>
      <c r="BL14" s="16">
        <v>-0.93</v>
      </c>
      <c r="BM14" s="16">
        <v>-1.61</v>
      </c>
      <c r="BN14" s="16">
        <v>-1.7</v>
      </c>
      <c r="BO14" s="16">
        <v>-2.06</v>
      </c>
      <c r="BP14" s="16">
        <v>-2</v>
      </c>
      <c r="BQ14" s="16">
        <v>-2.32</v>
      </c>
      <c r="BR14" s="16">
        <v>1.07</v>
      </c>
      <c r="BS14" s="16">
        <v>-0.77</v>
      </c>
      <c r="BT14" s="16">
        <v>-0.06000000000000005</v>
      </c>
      <c r="BU14" s="16">
        <v>-0.83</v>
      </c>
      <c r="BV14" s="16">
        <v>-2.76</v>
      </c>
      <c r="BW14" s="16">
        <v>-0.86</v>
      </c>
      <c r="BX14" s="16">
        <v>1.08</v>
      </c>
      <c r="BY14" s="16">
        <v>0.26</v>
      </c>
      <c r="BZ14" s="16">
        <v>-0.2</v>
      </c>
      <c r="CA14" s="16">
        <v>3.41</v>
      </c>
      <c r="CB14" s="16">
        <v>-2.02</v>
      </c>
      <c r="CC14" s="16">
        <v>-0.51</v>
      </c>
      <c r="CD14" s="16">
        <v>-1.23</v>
      </c>
      <c r="CE14" s="16">
        <v>-1.33</v>
      </c>
      <c r="CF14" s="16">
        <v>-0.3356410256410256</v>
      </c>
      <c r="CG14" s="115">
        <v>-0.16060139113453395</v>
      </c>
    </row>
    <row r="15" spans="1:85" ht="12.75">
      <c r="A15" s="3" t="e">
        <f>IF(Demography!#REF!="","",Demography!#REF!)</f>
        <v>#REF!</v>
      </c>
      <c r="B15" s="4">
        <f>IF(Demography!A14="","",Demography!A14)</f>
        <v>1231</v>
      </c>
      <c r="C15" s="1">
        <v>2</v>
      </c>
      <c r="D15" s="1">
        <v>2</v>
      </c>
      <c r="E15" s="1">
        <v>4</v>
      </c>
      <c r="F15" s="1">
        <v>3</v>
      </c>
      <c r="G15" s="1">
        <v>3</v>
      </c>
      <c r="H15" s="1">
        <v>2</v>
      </c>
      <c r="I15" s="1">
        <v>3</v>
      </c>
      <c r="J15" s="1">
        <v>2</v>
      </c>
      <c r="K15" s="1">
        <v>2</v>
      </c>
      <c r="L15" s="1">
        <v>2</v>
      </c>
      <c r="M15" s="1">
        <v>1</v>
      </c>
      <c r="N15" s="1">
        <v>1</v>
      </c>
      <c r="O15" s="1">
        <v>3</v>
      </c>
      <c r="P15" s="1">
        <v>3</v>
      </c>
      <c r="Q15" s="1">
        <v>2</v>
      </c>
      <c r="R15" s="1">
        <v>2</v>
      </c>
      <c r="S15" s="1">
        <v>2</v>
      </c>
      <c r="T15" s="1">
        <v>2</v>
      </c>
      <c r="U15" s="1">
        <v>3</v>
      </c>
      <c r="V15" s="1">
        <v>2</v>
      </c>
      <c r="W15" s="1">
        <v>4</v>
      </c>
      <c r="X15" s="1">
        <v>3</v>
      </c>
      <c r="Y15" s="1">
        <v>5</v>
      </c>
      <c r="Z15" s="1">
        <v>3</v>
      </c>
      <c r="AA15" s="1">
        <v>1</v>
      </c>
      <c r="AB15" s="1">
        <v>4</v>
      </c>
      <c r="AC15" s="1">
        <v>2</v>
      </c>
      <c r="AD15" s="1">
        <v>2</v>
      </c>
      <c r="AE15" s="1">
        <v>4</v>
      </c>
      <c r="AF15" s="1">
        <v>7</v>
      </c>
      <c r="AG15" s="1">
        <v>8</v>
      </c>
      <c r="AH15" s="1">
        <v>1</v>
      </c>
      <c r="AI15" s="1">
        <v>2</v>
      </c>
      <c r="AJ15" s="1">
        <v>3</v>
      </c>
      <c r="AK15" s="1">
        <v>2</v>
      </c>
      <c r="AL15" s="1">
        <v>3</v>
      </c>
      <c r="AM15" s="1">
        <v>1</v>
      </c>
      <c r="AN15" s="1">
        <v>2</v>
      </c>
      <c r="AO15" s="1">
        <v>2</v>
      </c>
      <c r="AP15" s="1">
        <v>2</v>
      </c>
      <c r="AQ15" s="1">
        <v>2</v>
      </c>
      <c r="AR15" s="1">
        <v>3</v>
      </c>
      <c r="AS15" s="16">
        <v>-0.75</v>
      </c>
      <c r="AT15" s="16">
        <v>0.01</v>
      </c>
      <c r="AU15" s="16">
        <v>1.02</v>
      </c>
      <c r="AV15" s="16">
        <v>0.02</v>
      </c>
      <c r="AW15" s="16">
        <v>0.67</v>
      </c>
      <c r="AX15" s="16">
        <v>-0.57</v>
      </c>
      <c r="AY15" s="16">
        <v>-0.1</v>
      </c>
      <c r="AZ15" s="16">
        <v>-0.5</v>
      </c>
      <c r="BA15" s="16">
        <v>-0.82</v>
      </c>
      <c r="BB15" s="16">
        <v>-0.88</v>
      </c>
      <c r="BC15" s="16">
        <v>-2.4</v>
      </c>
      <c r="BD15" s="16">
        <v>-2.84</v>
      </c>
      <c r="BE15" s="16">
        <v>-0.73</v>
      </c>
      <c r="BF15" s="16">
        <v>0.19</v>
      </c>
      <c r="BG15" s="16">
        <v>-0.02</v>
      </c>
      <c r="BH15" s="16">
        <v>1.76</v>
      </c>
      <c r="BI15" s="16">
        <v>1.22</v>
      </c>
      <c r="BJ15" s="16">
        <v>0.08</v>
      </c>
      <c r="BK15" s="16">
        <v>0.92</v>
      </c>
      <c r="BL15" s="16">
        <v>-0.16</v>
      </c>
      <c r="BM15" s="16">
        <v>-1.61</v>
      </c>
      <c r="BN15" s="16">
        <v>1</v>
      </c>
      <c r="BO15" s="16">
        <v>-0.84</v>
      </c>
      <c r="BP15" s="16">
        <v>-0.78</v>
      </c>
      <c r="BQ15" s="16">
        <v>0.38</v>
      </c>
      <c r="BR15" s="16">
        <v>1.07</v>
      </c>
      <c r="BS15" s="16">
        <v>2.01</v>
      </c>
      <c r="BT15" s="16">
        <v>-1.28</v>
      </c>
      <c r="BU15" s="16">
        <v>-0.83</v>
      </c>
      <c r="BV15" s="16">
        <v>-0.77</v>
      </c>
      <c r="BW15" s="16">
        <v>-0.86</v>
      </c>
      <c r="BX15" s="16">
        <v>0.37</v>
      </c>
      <c r="BY15" s="16">
        <v>-2.44</v>
      </c>
      <c r="BZ15" s="16">
        <v>-1.68</v>
      </c>
      <c r="CA15" s="16">
        <v>0.63</v>
      </c>
      <c r="CB15" s="16">
        <v>-0.8</v>
      </c>
      <c r="CC15" s="16">
        <v>-0.51</v>
      </c>
      <c r="CD15" s="16">
        <v>-1.23</v>
      </c>
      <c r="CE15" s="16">
        <v>-0.56</v>
      </c>
      <c r="CF15" s="16">
        <v>-0.3233333333333334</v>
      </c>
      <c r="CG15" s="115">
        <v>-0.1550777521281568</v>
      </c>
    </row>
    <row r="16" spans="1:85" ht="12.75">
      <c r="A16" s="12" t="e">
        <f>IF(Demography!#REF!="","",Demography!#REF!)</f>
        <v>#REF!</v>
      </c>
      <c r="B16" s="315">
        <f>IF(Demography!A15="","",Demography!A15)</f>
        <v>1235</v>
      </c>
      <c r="C16" s="1">
        <v>1</v>
      </c>
      <c r="D16" s="1">
        <v>2</v>
      </c>
      <c r="E16" s="1">
        <v>2</v>
      </c>
      <c r="F16" s="1">
        <v>3</v>
      </c>
      <c r="G16" s="1">
        <v>2</v>
      </c>
      <c r="H16" s="1">
        <v>3</v>
      </c>
      <c r="I16" s="1">
        <v>2</v>
      </c>
      <c r="J16" s="1">
        <v>3</v>
      </c>
      <c r="K16" s="1">
        <v>2</v>
      </c>
      <c r="L16" s="1">
        <v>3</v>
      </c>
      <c r="M16" s="1">
        <v>3</v>
      </c>
      <c r="N16" s="1">
        <v>1</v>
      </c>
      <c r="O16" s="1">
        <v>2</v>
      </c>
      <c r="P16" s="1">
        <v>2</v>
      </c>
      <c r="Q16" s="1">
        <v>2</v>
      </c>
      <c r="R16" s="1">
        <v>2</v>
      </c>
      <c r="S16" s="1">
        <v>1</v>
      </c>
      <c r="T16" s="1" t="s">
        <v>34</v>
      </c>
      <c r="U16" s="1" t="s">
        <v>34</v>
      </c>
      <c r="V16" s="1" t="s">
        <v>34</v>
      </c>
      <c r="W16" s="1">
        <v>3</v>
      </c>
      <c r="X16" s="1">
        <v>4</v>
      </c>
      <c r="Y16" s="1">
        <v>4</v>
      </c>
      <c r="Z16" s="1">
        <v>5</v>
      </c>
      <c r="AA16" s="1">
        <v>4</v>
      </c>
      <c r="AB16" s="1">
        <v>4</v>
      </c>
      <c r="AC16" s="1">
        <v>4</v>
      </c>
      <c r="AD16" s="1">
        <v>4</v>
      </c>
      <c r="AE16" s="1">
        <v>5</v>
      </c>
      <c r="AF16" s="1">
        <v>9</v>
      </c>
      <c r="AG16" s="1">
        <v>7</v>
      </c>
      <c r="AH16" s="1">
        <v>2</v>
      </c>
      <c r="AI16" s="1">
        <v>2</v>
      </c>
      <c r="AJ16" s="1">
        <v>1</v>
      </c>
      <c r="AK16" s="1">
        <v>1</v>
      </c>
      <c r="AL16" s="1">
        <v>1</v>
      </c>
      <c r="AM16" s="1">
        <v>2</v>
      </c>
      <c r="AN16" s="1">
        <v>1</v>
      </c>
      <c r="AO16" s="1">
        <v>2</v>
      </c>
      <c r="AP16" s="1">
        <v>1</v>
      </c>
      <c r="AQ16" s="1">
        <v>4</v>
      </c>
      <c r="AR16" s="1">
        <v>4</v>
      </c>
      <c r="AS16" s="16">
        <v>-1.97</v>
      </c>
      <c r="AT16" s="16">
        <v>0.01</v>
      </c>
      <c r="AU16" s="16">
        <v>-0.46</v>
      </c>
      <c r="AV16" s="16">
        <v>0.02</v>
      </c>
      <c r="AW16" s="16">
        <v>-0.1</v>
      </c>
      <c r="AX16" s="16">
        <v>0.2</v>
      </c>
      <c r="AY16" s="16">
        <v>-0.87</v>
      </c>
      <c r="AZ16" s="16">
        <v>0.27</v>
      </c>
      <c r="BA16" s="16">
        <v>-0.82</v>
      </c>
      <c r="BB16" s="16">
        <v>-0.11</v>
      </c>
      <c r="BC16" s="16">
        <v>-0.41</v>
      </c>
      <c r="BD16" s="16">
        <v>-2.84</v>
      </c>
      <c r="BE16" s="16">
        <v>-1.5</v>
      </c>
      <c r="BF16" s="16">
        <v>-0.58</v>
      </c>
      <c r="BG16" s="16" t="s">
        <v>34</v>
      </c>
      <c r="BH16" s="16" t="s">
        <v>34</v>
      </c>
      <c r="BI16" s="16">
        <v>0.51</v>
      </c>
      <c r="BJ16" s="16">
        <v>0.79</v>
      </c>
      <c r="BK16" s="16">
        <v>-0.38</v>
      </c>
      <c r="BL16" s="16">
        <v>1.85</v>
      </c>
      <c r="BM16" s="16">
        <v>1.09</v>
      </c>
      <c r="BN16" s="16">
        <v>1</v>
      </c>
      <c r="BO16" s="16">
        <v>0.64</v>
      </c>
      <c r="BP16" s="16">
        <v>0.7</v>
      </c>
      <c r="BQ16" s="16">
        <v>1.68</v>
      </c>
      <c r="BR16" s="16">
        <v>1.07</v>
      </c>
      <c r="BS16" s="16">
        <v>2.01</v>
      </c>
      <c r="BT16" s="16">
        <v>-0.06000000000000005</v>
      </c>
      <c r="BU16" s="16">
        <v>-0.83</v>
      </c>
      <c r="BV16" s="16">
        <v>-2.76</v>
      </c>
      <c r="BW16" s="16">
        <v>-2.08</v>
      </c>
      <c r="BX16" s="16">
        <v>-1.62</v>
      </c>
      <c r="BY16" s="16">
        <v>-1.22</v>
      </c>
      <c r="BZ16" s="16">
        <v>-2.9</v>
      </c>
      <c r="CA16" s="16" t="s">
        <v>34</v>
      </c>
      <c r="CB16" s="16">
        <v>-0.8</v>
      </c>
      <c r="CC16" s="16">
        <v>-1.73</v>
      </c>
      <c r="CD16" s="16">
        <v>0.25</v>
      </c>
      <c r="CE16" s="16">
        <v>0.15</v>
      </c>
      <c r="CF16" s="16">
        <v>-0.3277777777777778</v>
      </c>
      <c r="CG16" s="115">
        <v>-0.15707094550651493</v>
      </c>
    </row>
    <row r="17" spans="1:85" ht="12.75">
      <c r="A17" s="3" t="e">
        <f>IF(Demography!#REF!="","",Demography!#REF!)</f>
        <v>#REF!</v>
      </c>
      <c r="B17" s="4">
        <f>IF(Demography!A16="","",Demography!A16)</f>
        <v>1249</v>
      </c>
      <c r="C17" s="1">
        <v>2</v>
      </c>
      <c r="D17" s="1">
        <v>3</v>
      </c>
      <c r="E17" s="1">
        <v>3</v>
      </c>
      <c r="F17" s="1">
        <v>1</v>
      </c>
      <c r="G17" s="1">
        <v>4</v>
      </c>
      <c r="H17" s="1">
        <v>3</v>
      </c>
      <c r="I17" s="1">
        <v>3</v>
      </c>
      <c r="J17" s="1">
        <v>3</v>
      </c>
      <c r="K17" s="1">
        <v>2</v>
      </c>
      <c r="L17" s="1">
        <v>4</v>
      </c>
      <c r="M17" s="1">
        <v>1</v>
      </c>
      <c r="N17" s="1">
        <v>1</v>
      </c>
      <c r="O17" s="1">
        <v>2</v>
      </c>
      <c r="P17" s="1">
        <v>1</v>
      </c>
      <c r="Q17" s="1">
        <v>2</v>
      </c>
      <c r="R17" s="1">
        <v>2</v>
      </c>
      <c r="S17" s="1">
        <v>1</v>
      </c>
      <c r="T17" s="1" t="s">
        <v>34</v>
      </c>
      <c r="U17" s="1" t="s">
        <v>34</v>
      </c>
      <c r="V17" s="1" t="s">
        <v>34</v>
      </c>
      <c r="W17" s="1">
        <v>1</v>
      </c>
      <c r="X17" s="1">
        <v>2</v>
      </c>
      <c r="Y17" s="1">
        <v>5</v>
      </c>
      <c r="Z17" s="1">
        <v>4</v>
      </c>
      <c r="AA17" s="1">
        <v>4</v>
      </c>
      <c r="AB17" s="1">
        <v>2</v>
      </c>
      <c r="AC17" s="1">
        <v>3</v>
      </c>
      <c r="AD17" s="1">
        <v>4</v>
      </c>
      <c r="AE17" s="1">
        <v>5</v>
      </c>
      <c r="AF17" s="1">
        <v>7</v>
      </c>
      <c r="AG17" s="1">
        <v>5</v>
      </c>
      <c r="AH17" s="1">
        <v>4</v>
      </c>
      <c r="AI17" s="1">
        <v>2</v>
      </c>
      <c r="AJ17" s="1">
        <v>1</v>
      </c>
      <c r="AK17" s="1">
        <v>1</v>
      </c>
      <c r="AL17" s="1">
        <v>2</v>
      </c>
      <c r="AM17" s="1">
        <v>1</v>
      </c>
      <c r="AN17" s="1">
        <v>1</v>
      </c>
      <c r="AO17" s="1">
        <v>4</v>
      </c>
      <c r="AP17" s="1">
        <v>3</v>
      </c>
      <c r="AQ17" s="1">
        <v>5</v>
      </c>
      <c r="AR17" s="1">
        <v>5</v>
      </c>
      <c r="AS17" s="16">
        <v>-0.75</v>
      </c>
      <c r="AT17" s="16">
        <v>0.78</v>
      </c>
      <c r="AU17" s="16">
        <v>0.31</v>
      </c>
      <c r="AV17" s="16">
        <v>-1.97</v>
      </c>
      <c r="AW17" s="16">
        <v>1.38</v>
      </c>
      <c r="AX17" s="16">
        <v>0.2</v>
      </c>
      <c r="AY17" s="16">
        <v>-0.1</v>
      </c>
      <c r="AZ17" s="16">
        <v>0.27</v>
      </c>
      <c r="BA17" s="16">
        <v>-0.82</v>
      </c>
      <c r="BB17" s="16">
        <v>0.6</v>
      </c>
      <c r="BC17" s="16">
        <v>-2.4</v>
      </c>
      <c r="BD17" s="16">
        <v>-2.84</v>
      </c>
      <c r="BE17" s="16">
        <v>-1.5</v>
      </c>
      <c r="BF17" s="16">
        <v>-1.8</v>
      </c>
      <c r="BG17" s="16" t="s">
        <v>34</v>
      </c>
      <c r="BH17" s="16" t="s">
        <v>34</v>
      </c>
      <c r="BI17" s="16">
        <v>-1.48</v>
      </c>
      <c r="BJ17" s="16">
        <v>-0.69</v>
      </c>
      <c r="BK17" s="16">
        <v>0.92</v>
      </c>
      <c r="BL17" s="16">
        <v>0.55</v>
      </c>
      <c r="BM17" s="16">
        <v>1.09</v>
      </c>
      <c r="BN17" s="16">
        <v>-0.48</v>
      </c>
      <c r="BO17" s="16">
        <v>-0.07</v>
      </c>
      <c r="BP17" s="16">
        <v>0.7</v>
      </c>
      <c r="BQ17" s="16">
        <v>1.68</v>
      </c>
      <c r="BR17" s="16">
        <v>1.07</v>
      </c>
      <c r="BS17" s="16">
        <v>2.01</v>
      </c>
      <c r="BT17" s="16">
        <v>1.42</v>
      </c>
      <c r="BU17" s="16">
        <v>-0.83</v>
      </c>
      <c r="BV17" s="16">
        <v>-2.76</v>
      </c>
      <c r="BW17" s="16">
        <v>-2.08</v>
      </c>
      <c r="BX17" s="16">
        <v>-0.4</v>
      </c>
      <c r="BY17" s="16">
        <v>-2.44</v>
      </c>
      <c r="BZ17" s="16">
        <v>-2.9</v>
      </c>
      <c r="CA17" s="16" t="s">
        <v>34</v>
      </c>
      <c r="CB17" s="16">
        <v>0.68</v>
      </c>
      <c r="CC17" s="16">
        <v>0.26</v>
      </c>
      <c r="CD17" s="16">
        <v>1.55</v>
      </c>
      <c r="CE17" s="16">
        <v>1.45</v>
      </c>
      <c r="CF17" s="16">
        <v>-0.2608333333333335</v>
      </c>
      <c r="CG17" s="115">
        <v>-0.12720907947510227</v>
      </c>
    </row>
    <row r="18" spans="1:85" ht="12.75">
      <c r="A18" s="3" t="e">
        <f>IF(Demography!#REF!="","",Demography!#REF!)</f>
        <v>#REF!</v>
      </c>
      <c r="B18" s="4">
        <f>IF(Demography!A17="","",Demography!A17)</f>
        <v>1308</v>
      </c>
      <c r="C18" s="1">
        <v>3</v>
      </c>
      <c r="D18" s="1">
        <v>3</v>
      </c>
      <c r="E18" s="1">
        <v>3</v>
      </c>
      <c r="F18" s="1">
        <v>2</v>
      </c>
      <c r="G18" s="1">
        <v>1</v>
      </c>
      <c r="H18" s="1">
        <v>1</v>
      </c>
      <c r="I18" s="1">
        <v>1</v>
      </c>
      <c r="J18" s="1">
        <v>2</v>
      </c>
      <c r="K18" s="1">
        <v>2</v>
      </c>
      <c r="L18" s="1">
        <v>3</v>
      </c>
      <c r="M18" s="1">
        <v>1</v>
      </c>
      <c r="N18" s="1">
        <v>1</v>
      </c>
      <c r="O18" s="1">
        <v>1</v>
      </c>
      <c r="P18" s="1">
        <v>1</v>
      </c>
      <c r="Q18" s="1">
        <v>2</v>
      </c>
      <c r="R18" s="1">
        <v>2</v>
      </c>
      <c r="S18" s="1">
        <v>1</v>
      </c>
      <c r="T18" s="1" t="s">
        <v>34</v>
      </c>
      <c r="U18" s="1" t="s">
        <v>34</v>
      </c>
      <c r="V18" s="1" t="s">
        <v>34</v>
      </c>
      <c r="W18" s="1">
        <v>4</v>
      </c>
      <c r="X18" s="1">
        <v>4</v>
      </c>
      <c r="Y18" s="1">
        <v>4</v>
      </c>
      <c r="Z18" s="1">
        <v>5</v>
      </c>
      <c r="AA18" s="1">
        <v>4</v>
      </c>
      <c r="AB18" s="1">
        <v>3</v>
      </c>
      <c r="AC18" s="1">
        <v>4</v>
      </c>
      <c r="AD18" s="1">
        <v>3</v>
      </c>
      <c r="AE18" s="1">
        <v>5</v>
      </c>
      <c r="AF18" s="1">
        <v>6</v>
      </c>
      <c r="AG18" s="1">
        <v>6</v>
      </c>
      <c r="AH18" s="1">
        <v>1</v>
      </c>
      <c r="AI18" s="1">
        <v>1</v>
      </c>
      <c r="AJ18" s="1">
        <v>1</v>
      </c>
      <c r="AK18" s="1">
        <v>1</v>
      </c>
      <c r="AL18" s="1">
        <v>2</v>
      </c>
      <c r="AM18" s="1">
        <v>1</v>
      </c>
      <c r="AN18" s="1">
        <v>1</v>
      </c>
      <c r="AO18" s="1">
        <v>3</v>
      </c>
      <c r="AP18" s="1">
        <v>3</v>
      </c>
      <c r="AQ18" s="1">
        <v>5</v>
      </c>
      <c r="AR18" s="1">
        <v>5</v>
      </c>
      <c r="AS18" s="16">
        <v>0.02</v>
      </c>
      <c r="AT18" s="16">
        <v>0.78</v>
      </c>
      <c r="AU18" s="16">
        <v>0.31</v>
      </c>
      <c r="AV18" s="16">
        <v>-0.75</v>
      </c>
      <c r="AW18" s="16">
        <v>-1.32</v>
      </c>
      <c r="AX18" s="16">
        <v>-1.79</v>
      </c>
      <c r="AY18" s="16">
        <v>-2.09</v>
      </c>
      <c r="AZ18" s="16">
        <v>-0.5</v>
      </c>
      <c r="BA18" s="16">
        <v>-0.82</v>
      </c>
      <c r="BB18" s="16">
        <v>-0.11</v>
      </c>
      <c r="BC18" s="16">
        <v>-2.4</v>
      </c>
      <c r="BD18" s="16">
        <v>-2.84</v>
      </c>
      <c r="BE18" s="16">
        <v>-2.72</v>
      </c>
      <c r="BF18" s="16">
        <v>-1.8</v>
      </c>
      <c r="BG18" s="16" t="s">
        <v>34</v>
      </c>
      <c r="BH18" s="16" t="s">
        <v>34</v>
      </c>
      <c r="BI18" s="16">
        <v>1.22</v>
      </c>
      <c r="BJ18" s="16">
        <v>0.79</v>
      </c>
      <c r="BK18" s="16">
        <v>-0.38</v>
      </c>
      <c r="BL18" s="16">
        <v>1.85</v>
      </c>
      <c r="BM18" s="16">
        <v>1.09</v>
      </c>
      <c r="BN18" s="16">
        <v>0.29</v>
      </c>
      <c r="BO18" s="16">
        <v>0.64</v>
      </c>
      <c r="BP18" s="16">
        <v>-0.01</v>
      </c>
      <c r="BQ18" s="16">
        <v>1.68</v>
      </c>
      <c r="BR18" s="16">
        <v>1.07</v>
      </c>
      <c r="BS18" s="16">
        <v>2.01</v>
      </c>
      <c r="BT18" s="16">
        <v>-1.28</v>
      </c>
      <c r="BU18" s="16">
        <v>-2.05</v>
      </c>
      <c r="BV18" s="16">
        <v>-2.76</v>
      </c>
      <c r="BW18" s="16">
        <v>-2.08</v>
      </c>
      <c r="BX18" s="16">
        <v>-0.4</v>
      </c>
      <c r="BY18" s="16">
        <v>-2.44</v>
      </c>
      <c r="BZ18" s="16">
        <v>-2.9</v>
      </c>
      <c r="CA18" s="16" t="s">
        <v>34</v>
      </c>
      <c r="CB18" s="16">
        <v>-0.03</v>
      </c>
      <c r="CC18" s="16">
        <v>0.26</v>
      </c>
      <c r="CD18" s="16">
        <v>1.55</v>
      </c>
      <c r="CE18" s="16">
        <v>1.45</v>
      </c>
      <c r="CF18" s="16">
        <v>-0.45722222222222225</v>
      </c>
      <c r="CG18" s="115">
        <v>-0.2159394530434805</v>
      </c>
    </row>
    <row r="19" spans="1:85" ht="12.75">
      <c r="A19" s="3" t="e">
        <f>IF(Demography!#REF!="","",Demography!#REF!)</f>
        <v>#REF!</v>
      </c>
      <c r="B19" s="4">
        <f>IF(Demography!A18="","",Demography!A18)</f>
        <v>1287</v>
      </c>
      <c r="C19" s="1">
        <v>3</v>
      </c>
      <c r="D19" s="1">
        <v>3</v>
      </c>
      <c r="E19" s="1">
        <v>3</v>
      </c>
      <c r="F19" s="1">
        <v>1</v>
      </c>
      <c r="G19" s="1">
        <v>1</v>
      </c>
      <c r="H19" s="1">
        <v>1</v>
      </c>
      <c r="I19" s="1">
        <v>2</v>
      </c>
      <c r="J19" s="1">
        <v>1</v>
      </c>
      <c r="K19" s="1">
        <v>3</v>
      </c>
      <c r="L19" s="1">
        <v>4</v>
      </c>
      <c r="M19" s="1">
        <v>1</v>
      </c>
      <c r="N19" s="1">
        <v>1</v>
      </c>
      <c r="O19" s="1">
        <v>2</v>
      </c>
      <c r="P19" s="1">
        <v>3</v>
      </c>
      <c r="Q19" s="1">
        <v>2</v>
      </c>
      <c r="R19" s="1" t="s">
        <v>34</v>
      </c>
      <c r="S19" s="1" t="s">
        <v>34</v>
      </c>
      <c r="T19" s="1">
        <v>2</v>
      </c>
      <c r="U19" s="1">
        <v>5</v>
      </c>
      <c r="V19" s="1">
        <v>5</v>
      </c>
      <c r="W19" s="1">
        <v>4</v>
      </c>
      <c r="X19" s="1">
        <v>5</v>
      </c>
      <c r="Y19" s="1">
        <v>5</v>
      </c>
      <c r="Z19" s="1">
        <v>5</v>
      </c>
      <c r="AA19" s="1">
        <v>2</v>
      </c>
      <c r="AB19" s="1">
        <v>5</v>
      </c>
      <c r="AC19" s="1">
        <v>5</v>
      </c>
      <c r="AD19" s="1">
        <v>4</v>
      </c>
      <c r="AE19" s="1">
        <v>5</v>
      </c>
      <c r="AF19" s="1">
        <v>8</v>
      </c>
      <c r="AG19" s="1">
        <v>7</v>
      </c>
      <c r="AH19" s="1">
        <v>1</v>
      </c>
      <c r="AI19" s="1">
        <v>1</v>
      </c>
      <c r="AJ19" s="1">
        <v>2</v>
      </c>
      <c r="AK19" s="1">
        <v>1</v>
      </c>
      <c r="AL19" s="1">
        <v>1</v>
      </c>
      <c r="AM19" s="1">
        <v>1</v>
      </c>
      <c r="AN19" s="1">
        <v>1</v>
      </c>
      <c r="AO19" s="1">
        <v>3</v>
      </c>
      <c r="AP19" s="1">
        <v>4</v>
      </c>
      <c r="AQ19" s="1">
        <v>4</v>
      </c>
      <c r="AR19" s="1">
        <v>5</v>
      </c>
      <c r="AS19" s="16">
        <v>0.02</v>
      </c>
      <c r="AT19" s="16">
        <v>0.78</v>
      </c>
      <c r="AU19" s="16">
        <v>0.31</v>
      </c>
      <c r="AV19" s="16">
        <v>-1.97</v>
      </c>
      <c r="AW19" s="16">
        <v>-1.32</v>
      </c>
      <c r="AX19" s="16">
        <v>-1.79</v>
      </c>
      <c r="AY19" s="16">
        <v>-0.87</v>
      </c>
      <c r="AZ19" s="16">
        <v>-1.72</v>
      </c>
      <c r="BA19" s="16">
        <v>-0.05</v>
      </c>
      <c r="BB19" s="16">
        <v>0.6</v>
      </c>
      <c r="BC19" s="16">
        <v>-2.4</v>
      </c>
      <c r="BD19" s="16">
        <v>-2.84</v>
      </c>
      <c r="BE19" s="16">
        <v>-1.5</v>
      </c>
      <c r="BF19" s="16">
        <v>0.19</v>
      </c>
      <c r="BG19" s="16">
        <v>-0.02</v>
      </c>
      <c r="BH19" s="16">
        <v>3.77</v>
      </c>
      <c r="BI19" s="16">
        <v>1.22</v>
      </c>
      <c r="BJ19" s="16">
        <v>2.09</v>
      </c>
      <c r="BK19" s="16">
        <v>0.92</v>
      </c>
      <c r="BL19" s="16">
        <v>1.85</v>
      </c>
      <c r="BM19" s="16">
        <v>-0.39</v>
      </c>
      <c r="BN19" s="16">
        <v>2.3</v>
      </c>
      <c r="BO19" s="16">
        <v>1.94</v>
      </c>
      <c r="BP19" s="16">
        <v>0.7</v>
      </c>
      <c r="BQ19" s="16">
        <v>1.68</v>
      </c>
      <c r="BR19" s="16">
        <v>1.07</v>
      </c>
      <c r="BS19" s="16">
        <v>2.01</v>
      </c>
      <c r="BT19" s="16">
        <v>-1.28</v>
      </c>
      <c r="BU19" s="16">
        <v>-2.05</v>
      </c>
      <c r="BV19" s="16">
        <v>-1.54</v>
      </c>
      <c r="BW19" s="16">
        <v>-2.08</v>
      </c>
      <c r="BX19" s="16">
        <v>-1.62</v>
      </c>
      <c r="BY19" s="16">
        <v>-2.44</v>
      </c>
      <c r="BZ19" s="16">
        <v>-2.9</v>
      </c>
      <c r="CA19" s="16">
        <v>3.41</v>
      </c>
      <c r="CB19" s="16">
        <v>-0.03</v>
      </c>
      <c r="CC19" s="16">
        <v>0.97</v>
      </c>
      <c r="CD19" s="16">
        <v>0.25</v>
      </c>
      <c r="CE19" s="16">
        <v>1.45</v>
      </c>
      <c r="CF19" s="16">
        <v>-0.03282051282051293</v>
      </c>
      <c r="CG19" s="115">
        <v>-0.027291579760004195</v>
      </c>
    </row>
    <row r="20" spans="1:85" ht="12.75">
      <c r="A20" s="12" t="e">
        <f>IF(Demography!#REF!="","",Demography!#REF!)</f>
        <v>#REF!</v>
      </c>
      <c r="B20" s="4">
        <f>IF(Demography!A19="","",Demography!A19)</f>
        <v>1467</v>
      </c>
      <c r="C20" s="1">
        <v>1</v>
      </c>
      <c r="D20" s="1">
        <v>1</v>
      </c>
      <c r="E20" s="1">
        <v>5</v>
      </c>
      <c r="F20" s="1">
        <v>1</v>
      </c>
      <c r="G20" s="1">
        <v>1</v>
      </c>
      <c r="H20" s="1">
        <v>4</v>
      </c>
      <c r="I20" s="1">
        <v>4</v>
      </c>
      <c r="J20" s="1">
        <v>4</v>
      </c>
      <c r="K20" s="1">
        <v>4</v>
      </c>
      <c r="L20" s="1">
        <v>4</v>
      </c>
      <c r="M20" s="1">
        <v>1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1</v>
      </c>
      <c r="T20" s="1" t="s">
        <v>34</v>
      </c>
      <c r="U20" s="1" t="s">
        <v>34</v>
      </c>
      <c r="V20" s="1" t="s">
        <v>34</v>
      </c>
      <c r="W20" s="1">
        <v>1</v>
      </c>
      <c r="X20" s="1">
        <v>1</v>
      </c>
      <c r="Y20" s="1">
        <v>1</v>
      </c>
      <c r="Z20" s="1">
        <v>5</v>
      </c>
      <c r="AA20" s="1">
        <v>1</v>
      </c>
      <c r="AB20" s="1" t="s">
        <v>34</v>
      </c>
      <c r="AC20" s="1">
        <v>4</v>
      </c>
      <c r="AD20" s="1" t="s">
        <v>34</v>
      </c>
      <c r="AE20" s="1">
        <v>5</v>
      </c>
      <c r="AF20" s="1">
        <v>10</v>
      </c>
      <c r="AG20" s="1">
        <v>10</v>
      </c>
      <c r="AH20" s="1">
        <v>1</v>
      </c>
      <c r="AI20" s="1">
        <v>1</v>
      </c>
      <c r="AJ20" s="1">
        <v>2</v>
      </c>
      <c r="AK20" s="1">
        <v>2</v>
      </c>
      <c r="AL20" s="1">
        <v>2</v>
      </c>
      <c r="AM20" s="1">
        <v>1</v>
      </c>
      <c r="AN20" s="1">
        <v>1</v>
      </c>
      <c r="AO20" s="1">
        <v>3</v>
      </c>
      <c r="AP20" s="1">
        <v>3</v>
      </c>
      <c r="AQ20" s="1">
        <v>1</v>
      </c>
      <c r="AR20" s="1">
        <v>1</v>
      </c>
      <c r="AS20" s="16">
        <v>-1.97</v>
      </c>
      <c r="AT20" s="16">
        <v>-1.21</v>
      </c>
      <c r="AU20" s="16">
        <v>2.32</v>
      </c>
      <c r="AV20" s="16">
        <v>-1.97</v>
      </c>
      <c r="AW20" s="16">
        <v>-1.32</v>
      </c>
      <c r="AX20" s="16">
        <v>0.91</v>
      </c>
      <c r="AY20" s="16">
        <v>0.61</v>
      </c>
      <c r="AZ20" s="16">
        <v>0.98</v>
      </c>
      <c r="BA20" s="16">
        <v>0.66</v>
      </c>
      <c r="BB20" s="16">
        <v>0.6</v>
      </c>
      <c r="BC20" s="16">
        <v>-2.4</v>
      </c>
      <c r="BD20" s="16">
        <v>-1.62</v>
      </c>
      <c r="BE20" s="16">
        <v>-1.5</v>
      </c>
      <c r="BF20" s="16">
        <v>-0.58</v>
      </c>
      <c r="BG20" s="16" t="s">
        <v>34</v>
      </c>
      <c r="BH20" s="16" t="s">
        <v>34</v>
      </c>
      <c r="BI20" s="16">
        <v>-1.48</v>
      </c>
      <c r="BJ20" s="16">
        <v>-1.91</v>
      </c>
      <c r="BK20" s="16">
        <v>-3.08</v>
      </c>
      <c r="BL20" s="16">
        <v>1.85</v>
      </c>
      <c r="BM20" s="16">
        <v>-1.61</v>
      </c>
      <c r="BN20" s="16" t="s">
        <v>34</v>
      </c>
      <c r="BO20" s="16">
        <v>0.64</v>
      </c>
      <c r="BP20" s="16" t="s">
        <v>34</v>
      </c>
      <c r="BQ20" s="16">
        <v>1.68</v>
      </c>
      <c r="BR20" s="16">
        <v>1.07</v>
      </c>
      <c r="BS20" s="16">
        <v>2.01</v>
      </c>
      <c r="BT20" s="16">
        <v>-1.28</v>
      </c>
      <c r="BU20" s="16">
        <v>-2.05</v>
      </c>
      <c r="BV20" s="16">
        <v>-1.54</v>
      </c>
      <c r="BW20" s="16">
        <v>-0.86</v>
      </c>
      <c r="BX20" s="16">
        <v>-0.4</v>
      </c>
      <c r="BY20" s="16">
        <v>-2.44</v>
      </c>
      <c r="BZ20" s="16">
        <v>-2.9</v>
      </c>
      <c r="CA20" s="16" t="s">
        <v>34</v>
      </c>
      <c r="CB20" s="16">
        <v>-0.03</v>
      </c>
      <c r="CC20" s="16">
        <v>0.26</v>
      </c>
      <c r="CD20" s="16">
        <v>-2.45</v>
      </c>
      <c r="CE20" s="16">
        <v>-2.55</v>
      </c>
      <c r="CF20" s="16">
        <v>-0.6929411764705881</v>
      </c>
      <c r="CG20" s="115">
        <v>-0.3288273573283905</v>
      </c>
    </row>
    <row r="21" spans="1:85" ht="12.75">
      <c r="A21" s="3" t="e">
        <f>IF(Demography!#REF!="","",Demography!#REF!)</f>
        <v>#REF!</v>
      </c>
      <c r="B21" s="4">
        <f>IF(Demography!A20="","",Demography!A20)</f>
        <v>1324</v>
      </c>
      <c r="C21" s="1">
        <v>1</v>
      </c>
      <c r="D21" s="1">
        <v>3</v>
      </c>
      <c r="E21" s="1">
        <v>1</v>
      </c>
      <c r="F21" s="1">
        <v>1</v>
      </c>
      <c r="G21" s="1">
        <v>3</v>
      </c>
      <c r="H21" s="1">
        <v>3</v>
      </c>
      <c r="I21" s="1">
        <v>3</v>
      </c>
      <c r="J21" s="1">
        <v>3</v>
      </c>
      <c r="K21" s="1">
        <v>3</v>
      </c>
      <c r="L21" s="1">
        <v>4</v>
      </c>
      <c r="M21" s="1">
        <v>2</v>
      </c>
      <c r="N21" s="1">
        <v>1</v>
      </c>
      <c r="O21" s="1">
        <v>3</v>
      </c>
      <c r="P21" s="1">
        <v>4</v>
      </c>
      <c r="Q21" s="1">
        <v>1</v>
      </c>
      <c r="R21" s="1" t="s">
        <v>34</v>
      </c>
      <c r="S21" s="1" t="s">
        <v>34</v>
      </c>
      <c r="T21" s="1">
        <v>2</v>
      </c>
      <c r="U21" s="1">
        <v>2</v>
      </c>
      <c r="V21" s="1">
        <v>4</v>
      </c>
      <c r="W21" s="1">
        <v>1</v>
      </c>
      <c r="X21" s="1">
        <v>1</v>
      </c>
      <c r="Y21" s="1">
        <v>3</v>
      </c>
      <c r="Z21" s="1">
        <v>4</v>
      </c>
      <c r="AA21" s="1">
        <v>2</v>
      </c>
      <c r="AB21" s="1">
        <v>2</v>
      </c>
      <c r="AC21" s="1">
        <v>2</v>
      </c>
      <c r="AD21" s="1">
        <v>2</v>
      </c>
      <c r="AE21" s="1">
        <v>4</v>
      </c>
      <c r="AF21" s="1">
        <v>9</v>
      </c>
      <c r="AG21" s="1">
        <v>5</v>
      </c>
      <c r="AH21" s="1">
        <v>3</v>
      </c>
      <c r="AI21" s="1">
        <v>3</v>
      </c>
      <c r="AJ21" s="1">
        <v>1</v>
      </c>
      <c r="AK21" s="1">
        <v>1</v>
      </c>
      <c r="AL21" s="1">
        <v>3</v>
      </c>
      <c r="AM21" s="1">
        <v>1</v>
      </c>
      <c r="AN21" s="1">
        <v>1</v>
      </c>
      <c r="AO21" s="1">
        <v>3</v>
      </c>
      <c r="AP21" s="1">
        <v>3</v>
      </c>
      <c r="AQ21" s="1">
        <v>4</v>
      </c>
      <c r="AR21" s="1">
        <v>4</v>
      </c>
      <c r="AS21" s="16">
        <v>-1.97</v>
      </c>
      <c r="AT21" s="16">
        <v>0.78</v>
      </c>
      <c r="AU21" s="16">
        <v>-1.68</v>
      </c>
      <c r="AV21" s="16">
        <v>-1.97</v>
      </c>
      <c r="AW21" s="16">
        <v>0.67</v>
      </c>
      <c r="AX21" s="16">
        <v>0.2</v>
      </c>
      <c r="AY21" s="16">
        <v>-0.1</v>
      </c>
      <c r="AZ21" s="16">
        <v>0.27</v>
      </c>
      <c r="BA21" s="16">
        <v>-0.05</v>
      </c>
      <c r="BB21" s="16">
        <v>0.6</v>
      </c>
      <c r="BC21" s="16">
        <v>-1.18</v>
      </c>
      <c r="BD21" s="16">
        <v>-2.84</v>
      </c>
      <c r="BE21" s="16">
        <v>-0.73</v>
      </c>
      <c r="BF21" s="16">
        <v>0.9</v>
      </c>
      <c r="BG21" s="16">
        <v>-0.02</v>
      </c>
      <c r="BH21" s="16">
        <v>0.99</v>
      </c>
      <c r="BI21" s="16">
        <v>-1.48</v>
      </c>
      <c r="BJ21" s="16">
        <v>-1.91</v>
      </c>
      <c r="BK21" s="16">
        <v>-1.09</v>
      </c>
      <c r="BL21" s="16">
        <v>0.55</v>
      </c>
      <c r="BM21" s="16">
        <v>-0.39</v>
      </c>
      <c r="BN21" s="16">
        <v>-0.48</v>
      </c>
      <c r="BO21" s="16">
        <v>-0.84</v>
      </c>
      <c r="BP21" s="16">
        <v>-0.78</v>
      </c>
      <c r="BQ21" s="16">
        <v>0.38</v>
      </c>
      <c r="BR21" s="16">
        <v>1.07</v>
      </c>
      <c r="BS21" s="16">
        <v>2.01</v>
      </c>
      <c r="BT21" s="16">
        <v>0.71</v>
      </c>
      <c r="BU21" s="16">
        <v>-0.06</v>
      </c>
      <c r="BV21" s="16">
        <v>-2.76</v>
      </c>
      <c r="BW21" s="16">
        <v>-2.08</v>
      </c>
      <c r="BX21" s="16">
        <v>0.37</v>
      </c>
      <c r="BY21" s="16">
        <v>-2.44</v>
      </c>
      <c r="BZ21" s="16">
        <v>-2.9</v>
      </c>
      <c r="CA21" s="16">
        <v>2.11</v>
      </c>
      <c r="CB21" s="16">
        <v>-0.03</v>
      </c>
      <c r="CC21" s="16">
        <v>0.26</v>
      </c>
      <c r="CD21" s="16">
        <v>0.25</v>
      </c>
      <c r="CE21" s="16">
        <v>0.15</v>
      </c>
      <c r="CF21" s="16">
        <v>-0.3976923076923076</v>
      </c>
      <c r="CG21" s="115">
        <v>-0.18865610307470757</v>
      </c>
    </row>
    <row r="22" spans="1:85" ht="12.75">
      <c r="A22" s="3" t="e">
        <f>IF(Demography!#REF!="","",Demography!#REF!)</f>
        <v>#REF!</v>
      </c>
      <c r="B22" s="4">
        <f>IF(Demography!A21="","",Demography!A21)</f>
        <v>1565</v>
      </c>
      <c r="C22" s="8">
        <v>3</v>
      </c>
      <c r="D22" s="8">
        <v>2</v>
      </c>
      <c r="E22" s="8">
        <v>3</v>
      </c>
      <c r="F22" s="8">
        <v>1</v>
      </c>
      <c r="G22" s="8">
        <v>2</v>
      </c>
      <c r="H22" s="8">
        <v>3</v>
      </c>
      <c r="I22" s="8">
        <v>2</v>
      </c>
      <c r="J22" s="8">
        <v>1</v>
      </c>
      <c r="K22" s="8">
        <v>3</v>
      </c>
      <c r="L22" s="8">
        <v>3</v>
      </c>
      <c r="M22" s="8">
        <v>2</v>
      </c>
      <c r="N22" s="8">
        <v>2</v>
      </c>
      <c r="O22" s="8">
        <v>1</v>
      </c>
      <c r="P22" s="8">
        <v>2</v>
      </c>
      <c r="Q22" s="8">
        <v>3</v>
      </c>
      <c r="R22" s="8">
        <v>2</v>
      </c>
      <c r="S22" s="8" t="s">
        <v>34</v>
      </c>
      <c r="T22" s="8" t="s">
        <v>34</v>
      </c>
      <c r="U22" s="8" t="s">
        <v>34</v>
      </c>
      <c r="V22" s="8" t="s">
        <v>34</v>
      </c>
      <c r="W22" s="1">
        <v>4</v>
      </c>
      <c r="X22" s="1">
        <v>5</v>
      </c>
      <c r="Y22" s="1">
        <v>5</v>
      </c>
      <c r="Z22" s="1">
        <v>3</v>
      </c>
      <c r="AA22" s="1">
        <v>4</v>
      </c>
      <c r="AB22" s="1">
        <v>2</v>
      </c>
      <c r="AC22" s="1">
        <v>2</v>
      </c>
      <c r="AD22" s="1">
        <v>3</v>
      </c>
      <c r="AE22" s="1">
        <v>4</v>
      </c>
      <c r="AF22" s="1">
        <v>8</v>
      </c>
      <c r="AG22" s="1" t="s">
        <v>34</v>
      </c>
      <c r="AH22" s="1" t="s">
        <v>34</v>
      </c>
      <c r="AI22" s="1">
        <v>2</v>
      </c>
      <c r="AJ22" s="1">
        <v>3</v>
      </c>
      <c r="AK22" s="1">
        <v>1</v>
      </c>
      <c r="AL22" s="1">
        <v>2</v>
      </c>
      <c r="AM22" s="1">
        <v>2</v>
      </c>
      <c r="AN22" s="1">
        <v>1</v>
      </c>
      <c r="AO22" s="1">
        <v>3</v>
      </c>
      <c r="AP22" s="1">
        <v>3</v>
      </c>
      <c r="AQ22" s="1">
        <v>3</v>
      </c>
      <c r="AR22" s="1">
        <v>3</v>
      </c>
      <c r="AS22" s="16">
        <v>0.02</v>
      </c>
      <c r="AT22" s="16">
        <v>0.01</v>
      </c>
      <c r="AU22" s="16">
        <v>0.31</v>
      </c>
      <c r="AV22" s="16">
        <v>-1.97</v>
      </c>
      <c r="AW22" s="16">
        <v>-0.1</v>
      </c>
      <c r="AX22" s="16">
        <v>0.2</v>
      </c>
      <c r="AY22" s="16">
        <v>-0.87</v>
      </c>
      <c r="AZ22" s="16">
        <v>-1.72</v>
      </c>
      <c r="BA22" s="16">
        <v>-0.05</v>
      </c>
      <c r="BB22" s="16">
        <v>-0.11</v>
      </c>
      <c r="BC22" s="16">
        <v>-1.18</v>
      </c>
      <c r="BD22" s="16">
        <v>-1.62</v>
      </c>
      <c r="BE22" s="16">
        <v>-2.72</v>
      </c>
      <c r="BF22" s="16">
        <v>-0.58</v>
      </c>
      <c r="BG22" s="16" t="s">
        <v>34</v>
      </c>
      <c r="BH22" s="16" t="s">
        <v>34</v>
      </c>
      <c r="BI22" s="16">
        <v>1.22</v>
      </c>
      <c r="BJ22" s="16">
        <v>2.09</v>
      </c>
      <c r="BK22" s="16">
        <v>0.92</v>
      </c>
      <c r="BL22" s="16">
        <v>-0.16</v>
      </c>
      <c r="BM22" s="16">
        <v>1.09</v>
      </c>
      <c r="BN22" s="16">
        <v>-0.48</v>
      </c>
      <c r="BO22" s="16">
        <v>-0.84</v>
      </c>
      <c r="BP22" s="16">
        <v>-0.01</v>
      </c>
      <c r="BQ22" s="16">
        <v>0.38</v>
      </c>
      <c r="BR22" s="16">
        <v>1.07</v>
      </c>
      <c r="BS22" s="16" t="s">
        <v>34</v>
      </c>
      <c r="BT22" s="16" t="s">
        <v>34</v>
      </c>
      <c r="BU22" s="16">
        <v>-0.83</v>
      </c>
      <c r="BV22" s="16">
        <v>-0.77</v>
      </c>
      <c r="BW22" s="16">
        <v>-2.08</v>
      </c>
      <c r="BX22" s="16">
        <v>-0.4</v>
      </c>
      <c r="BY22" s="16">
        <v>-1.22</v>
      </c>
      <c r="BZ22" s="16">
        <v>-2.9</v>
      </c>
      <c r="CA22" s="16" t="s">
        <v>34</v>
      </c>
      <c r="CB22" s="16">
        <v>-0.03</v>
      </c>
      <c r="CC22" s="16">
        <v>0.26</v>
      </c>
      <c r="CD22" s="16">
        <v>-0.46</v>
      </c>
      <c r="CE22" s="16">
        <v>-0.56</v>
      </c>
      <c r="CF22" s="16">
        <v>-0.4144117647058824</v>
      </c>
      <c r="CG22" s="115">
        <v>-0.19627971529137977</v>
      </c>
    </row>
    <row r="23" spans="1:85" ht="12.75">
      <c r="A23" s="3" t="e">
        <f>IF(Demography!#REF!="","",Demography!#REF!)</f>
        <v>#REF!</v>
      </c>
      <c r="B23" s="4">
        <f>IF(Demography!A22="","",Demography!A22)</f>
        <v>1579</v>
      </c>
      <c r="C23" s="8">
        <v>1</v>
      </c>
      <c r="D23" s="8">
        <v>3</v>
      </c>
      <c r="E23" s="8">
        <v>3</v>
      </c>
      <c r="F23" s="8">
        <v>1</v>
      </c>
      <c r="G23" s="8">
        <v>3</v>
      </c>
      <c r="H23" s="8">
        <v>1</v>
      </c>
      <c r="I23" s="8">
        <v>2</v>
      </c>
      <c r="J23" s="8">
        <v>1</v>
      </c>
      <c r="K23" s="8">
        <v>2</v>
      </c>
      <c r="L23" s="8">
        <v>3</v>
      </c>
      <c r="M23" s="8">
        <v>1</v>
      </c>
      <c r="N23" s="8">
        <v>1</v>
      </c>
      <c r="O23" s="8">
        <v>3</v>
      </c>
      <c r="P23" s="8">
        <v>2</v>
      </c>
      <c r="Q23" s="8">
        <v>2</v>
      </c>
      <c r="R23" s="8">
        <v>2</v>
      </c>
      <c r="S23" s="8">
        <v>1</v>
      </c>
      <c r="T23" s="8" t="s">
        <v>34</v>
      </c>
      <c r="U23" s="8" t="s">
        <v>34</v>
      </c>
      <c r="V23" s="8" t="s">
        <v>34</v>
      </c>
      <c r="W23" s="8">
        <v>4</v>
      </c>
      <c r="X23" s="8">
        <v>5</v>
      </c>
      <c r="Y23" s="8">
        <v>5</v>
      </c>
      <c r="Z23" s="8">
        <v>2</v>
      </c>
      <c r="AA23" s="8">
        <v>1</v>
      </c>
      <c r="AB23" s="8">
        <v>1</v>
      </c>
      <c r="AC23" s="8">
        <v>5</v>
      </c>
      <c r="AD23" s="8">
        <v>5</v>
      </c>
      <c r="AE23" s="8">
        <v>5</v>
      </c>
      <c r="AF23" s="8">
        <v>10</v>
      </c>
      <c r="AG23" s="8" t="s">
        <v>34</v>
      </c>
      <c r="AH23" s="8" t="s">
        <v>34</v>
      </c>
      <c r="AI23" s="8">
        <v>1</v>
      </c>
      <c r="AJ23" s="8">
        <v>1</v>
      </c>
      <c r="AK23" s="8">
        <v>1</v>
      </c>
      <c r="AL23" s="8">
        <v>2</v>
      </c>
      <c r="AM23" s="8">
        <v>1</v>
      </c>
      <c r="AN23" s="8">
        <v>1</v>
      </c>
      <c r="AO23" s="8">
        <v>3</v>
      </c>
      <c r="AP23" s="8" t="s">
        <v>34</v>
      </c>
      <c r="AQ23" s="8">
        <v>2</v>
      </c>
      <c r="AR23" s="8">
        <v>5</v>
      </c>
      <c r="AS23" s="16">
        <v>-1.97</v>
      </c>
      <c r="AT23" s="16">
        <v>0.78</v>
      </c>
      <c r="AU23" s="16">
        <v>0.31</v>
      </c>
      <c r="AV23" s="16">
        <v>-1.97</v>
      </c>
      <c r="AW23" s="16">
        <v>0.67</v>
      </c>
      <c r="AX23" s="16">
        <v>-1.79</v>
      </c>
      <c r="AY23" s="16">
        <v>-0.87</v>
      </c>
      <c r="AZ23" s="16">
        <v>-1.72</v>
      </c>
      <c r="BA23" s="16">
        <v>-0.82</v>
      </c>
      <c r="BB23" s="16">
        <v>-0.11</v>
      </c>
      <c r="BC23" s="16">
        <v>-2.4</v>
      </c>
      <c r="BD23" s="16">
        <v>-2.84</v>
      </c>
      <c r="BE23" s="16">
        <v>-0.73</v>
      </c>
      <c r="BF23" s="16">
        <v>-0.58</v>
      </c>
      <c r="BG23" s="16" t="s">
        <v>34</v>
      </c>
      <c r="BH23" s="16" t="s">
        <v>34</v>
      </c>
      <c r="BI23" s="16">
        <v>1.22</v>
      </c>
      <c r="BJ23" s="16">
        <v>2.09</v>
      </c>
      <c r="BK23" s="16">
        <v>0.92</v>
      </c>
      <c r="BL23" s="16">
        <v>-0.93</v>
      </c>
      <c r="BM23" s="16">
        <v>-1.61</v>
      </c>
      <c r="BN23" s="16">
        <v>-1.7</v>
      </c>
      <c r="BO23" s="16">
        <v>1.94</v>
      </c>
      <c r="BP23" s="16">
        <v>2</v>
      </c>
      <c r="BQ23" s="16">
        <v>1.68</v>
      </c>
      <c r="BR23" s="16">
        <v>1.07</v>
      </c>
      <c r="BS23" s="16" t="s">
        <v>34</v>
      </c>
      <c r="BT23" s="16" t="s">
        <v>34</v>
      </c>
      <c r="BU23" s="16">
        <v>-2.05</v>
      </c>
      <c r="BV23" s="16">
        <v>-2.76</v>
      </c>
      <c r="BW23" s="16">
        <v>-2.08</v>
      </c>
      <c r="BX23" s="16">
        <v>-0.4</v>
      </c>
      <c r="BY23" s="16">
        <v>-2.44</v>
      </c>
      <c r="BZ23" s="16">
        <v>-2.9</v>
      </c>
      <c r="CA23" s="16" t="s">
        <v>34</v>
      </c>
      <c r="CB23" s="16">
        <v>-0.03</v>
      </c>
      <c r="CC23" s="16" t="s">
        <v>34</v>
      </c>
      <c r="CD23" s="16">
        <v>-1.23</v>
      </c>
      <c r="CE23" s="16">
        <v>1.45</v>
      </c>
      <c r="CF23" s="16">
        <v>-0.6</v>
      </c>
      <c r="CG23" s="115">
        <v>-0.28323518133335107</v>
      </c>
    </row>
    <row r="24" spans="1:85" ht="12.75">
      <c r="A24" s="3" t="e">
        <f>IF(Demography!#REF!="","",Demography!#REF!)</f>
        <v>#REF!</v>
      </c>
      <c r="B24" s="4">
        <f>IF(Demography!A23="","",Demography!A23)</f>
        <v>1580</v>
      </c>
      <c r="C24" s="4">
        <v>3</v>
      </c>
      <c r="D24" s="1">
        <v>3</v>
      </c>
      <c r="E24" s="1">
        <v>3</v>
      </c>
      <c r="F24" s="1">
        <v>2</v>
      </c>
      <c r="G24" s="1">
        <v>2</v>
      </c>
      <c r="H24" s="1">
        <v>2</v>
      </c>
      <c r="I24" s="1">
        <v>3</v>
      </c>
      <c r="J24" s="1">
        <v>3</v>
      </c>
      <c r="K24" s="1">
        <v>3</v>
      </c>
      <c r="L24" s="1">
        <v>2</v>
      </c>
      <c r="M24" s="1">
        <v>1</v>
      </c>
      <c r="N24" s="1">
        <v>1</v>
      </c>
      <c r="O24" s="1">
        <v>2</v>
      </c>
      <c r="P24" s="1">
        <v>2</v>
      </c>
      <c r="Q24" s="1">
        <v>2</v>
      </c>
      <c r="R24" s="1">
        <v>2</v>
      </c>
      <c r="S24" s="1">
        <v>1</v>
      </c>
      <c r="T24" s="1" t="s">
        <v>34</v>
      </c>
      <c r="U24" s="1" t="s">
        <v>34</v>
      </c>
      <c r="V24" s="1" t="s">
        <v>34</v>
      </c>
      <c r="W24" s="1">
        <v>3</v>
      </c>
      <c r="X24" s="1">
        <v>2</v>
      </c>
      <c r="Y24" s="1">
        <v>1</v>
      </c>
      <c r="Z24" s="1">
        <v>4</v>
      </c>
      <c r="AA24" s="1">
        <v>2</v>
      </c>
      <c r="AB24" s="1">
        <v>2</v>
      </c>
      <c r="AC24" s="1">
        <v>2</v>
      </c>
      <c r="AD24" s="1">
        <v>3</v>
      </c>
      <c r="AE24" s="1">
        <v>4</v>
      </c>
      <c r="AF24" s="1">
        <v>7</v>
      </c>
      <c r="AG24" s="1" t="s">
        <v>34</v>
      </c>
      <c r="AH24" s="1" t="s">
        <v>34</v>
      </c>
      <c r="AI24" s="1">
        <v>2</v>
      </c>
      <c r="AJ24" s="1">
        <v>3</v>
      </c>
      <c r="AK24" s="1">
        <v>2</v>
      </c>
      <c r="AL24" s="1">
        <v>2</v>
      </c>
      <c r="AM24" s="1">
        <v>2</v>
      </c>
      <c r="AN24" s="1">
        <v>1</v>
      </c>
      <c r="AO24" s="1">
        <v>2</v>
      </c>
      <c r="AP24" s="1">
        <v>3</v>
      </c>
      <c r="AQ24" s="1">
        <v>3</v>
      </c>
      <c r="AR24" s="1">
        <v>2</v>
      </c>
      <c r="AS24" s="16">
        <v>0.02</v>
      </c>
      <c r="AT24" s="16">
        <v>0.78</v>
      </c>
      <c r="AU24" s="16">
        <v>0.31</v>
      </c>
      <c r="AV24" s="16">
        <v>-0.75</v>
      </c>
      <c r="AW24" s="16">
        <v>-0.1</v>
      </c>
      <c r="AX24" s="16">
        <v>-0.57</v>
      </c>
      <c r="AY24" s="16">
        <v>-0.1</v>
      </c>
      <c r="AZ24" s="16">
        <v>0.27</v>
      </c>
      <c r="BA24" s="16">
        <v>-0.05</v>
      </c>
      <c r="BB24" s="16">
        <v>-0.88</v>
      </c>
      <c r="BC24" s="16">
        <v>-2.4</v>
      </c>
      <c r="BD24" s="16">
        <v>-2.84</v>
      </c>
      <c r="BE24" s="16">
        <v>-1.5</v>
      </c>
      <c r="BF24" s="16">
        <v>-0.58</v>
      </c>
      <c r="BG24" s="16" t="s">
        <v>34</v>
      </c>
      <c r="BH24" s="16" t="s">
        <v>34</v>
      </c>
      <c r="BI24" s="16">
        <v>0.51</v>
      </c>
      <c r="BJ24" s="16">
        <v>-0.69</v>
      </c>
      <c r="BK24" s="16">
        <v>-3.08</v>
      </c>
      <c r="BL24" s="16">
        <v>0.55</v>
      </c>
      <c r="BM24" s="16">
        <v>-0.39</v>
      </c>
      <c r="BN24" s="16">
        <v>-0.48</v>
      </c>
      <c r="BO24" s="16">
        <v>-0.84</v>
      </c>
      <c r="BP24" s="16">
        <v>-0.01</v>
      </c>
      <c r="BQ24" s="16">
        <v>0.38</v>
      </c>
      <c r="BR24" s="16">
        <v>1.07</v>
      </c>
      <c r="BS24" s="16" t="s">
        <v>34</v>
      </c>
      <c r="BT24" s="16" t="s">
        <v>34</v>
      </c>
      <c r="BU24" s="16">
        <v>-0.83</v>
      </c>
      <c r="BV24" s="16">
        <v>-0.77</v>
      </c>
      <c r="BW24" s="16">
        <v>-0.86</v>
      </c>
      <c r="BX24" s="16">
        <v>-0.4</v>
      </c>
      <c r="BY24" s="16">
        <v>-1.22</v>
      </c>
      <c r="BZ24" s="16">
        <v>-2.9</v>
      </c>
      <c r="CA24" s="16" t="s">
        <v>34</v>
      </c>
      <c r="CB24" s="16">
        <v>-0.8</v>
      </c>
      <c r="CC24" s="16">
        <v>0.26</v>
      </c>
      <c r="CD24" s="16">
        <v>-0.46</v>
      </c>
      <c r="CE24" s="16">
        <v>-1.33</v>
      </c>
      <c r="CF24" s="16">
        <v>-0.6082352941176471</v>
      </c>
      <c r="CG24" s="115">
        <v>-0.2872114520261389</v>
      </c>
    </row>
    <row r="25" spans="1:85" ht="12.75">
      <c r="A25" s="12" t="e">
        <f>IF(Demography!#REF!="","",Demography!#REF!)</f>
        <v>#REF!</v>
      </c>
      <c r="B25" s="315">
        <f>IF(Demography!A24="","",Demography!A24)</f>
        <v>1595</v>
      </c>
      <c r="C25" s="4"/>
      <c r="CG25" s="119"/>
    </row>
    <row r="26" spans="1:85" ht="12.75">
      <c r="A26" s="3" t="e">
        <f>IF(Demography!#REF!="","",Demography!#REF!)</f>
        <v>#REF!</v>
      </c>
      <c r="B26" s="50">
        <f>IF(Demography!A25="","",Demography!A25)</f>
        <v>1598</v>
      </c>
      <c r="C26" s="137">
        <v>3</v>
      </c>
      <c r="D26" s="54">
        <v>3</v>
      </c>
      <c r="E26" s="54">
        <v>3</v>
      </c>
      <c r="F26" s="54">
        <v>1</v>
      </c>
      <c r="G26" s="54">
        <v>3</v>
      </c>
      <c r="H26" s="54">
        <v>3</v>
      </c>
      <c r="I26" s="54">
        <v>3</v>
      </c>
      <c r="J26" s="54">
        <v>3</v>
      </c>
      <c r="K26" s="54">
        <v>3</v>
      </c>
      <c r="L26" s="54">
        <v>4</v>
      </c>
      <c r="M26" s="54">
        <v>2</v>
      </c>
      <c r="N26" s="54">
        <v>2</v>
      </c>
      <c r="O26" s="54">
        <v>2</v>
      </c>
      <c r="P26" s="54">
        <v>2</v>
      </c>
      <c r="Q26" s="54">
        <v>1</v>
      </c>
      <c r="R26" s="54" t="s">
        <v>34</v>
      </c>
      <c r="S26" s="54" t="s">
        <v>34</v>
      </c>
      <c r="T26" s="54">
        <v>3</v>
      </c>
      <c r="U26" s="54">
        <v>5</v>
      </c>
      <c r="V26" s="54">
        <v>5</v>
      </c>
      <c r="W26" s="54">
        <v>2</v>
      </c>
      <c r="X26" s="54">
        <v>2</v>
      </c>
      <c r="Y26" s="54">
        <v>5</v>
      </c>
      <c r="Z26" s="54">
        <v>3</v>
      </c>
      <c r="AA26" s="54">
        <v>1</v>
      </c>
      <c r="AB26" s="54">
        <v>1</v>
      </c>
      <c r="AC26" s="54">
        <v>3</v>
      </c>
      <c r="AD26" s="54">
        <v>2</v>
      </c>
      <c r="AE26" s="54">
        <v>5</v>
      </c>
      <c r="AF26" s="54">
        <v>5</v>
      </c>
      <c r="AG26" s="54">
        <v>2</v>
      </c>
      <c r="AH26" s="54">
        <v>4</v>
      </c>
      <c r="AI26" s="54">
        <v>2</v>
      </c>
      <c r="AJ26" s="54">
        <v>1</v>
      </c>
      <c r="AK26" s="54">
        <v>2</v>
      </c>
      <c r="AL26" s="54">
        <v>4</v>
      </c>
      <c r="AM26" s="54">
        <v>1</v>
      </c>
      <c r="AN26" s="54">
        <v>1</v>
      </c>
      <c r="AO26" s="54">
        <v>2</v>
      </c>
      <c r="AP26" s="54">
        <v>2</v>
      </c>
      <c r="AQ26" s="54">
        <v>3</v>
      </c>
      <c r="AR26" s="54">
        <v>4</v>
      </c>
      <c r="AS26" s="55">
        <v>0.02</v>
      </c>
      <c r="AT26" s="55">
        <v>0.78</v>
      </c>
      <c r="AU26" s="55">
        <v>0.31</v>
      </c>
      <c r="AV26" s="55">
        <v>-1.97</v>
      </c>
      <c r="AW26" s="55">
        <v>0.67</v>
      </c>
      <c r="AX26" s="55">
        <v>0.2</v>
      </c>
      <c r="AY26" s="55">
        <v>-0.1</v>
      </c>
      <c r="AZ26" s="55">
        <v>0.27</v>
      </c>
      <c r="BA26" s="55">
        <v>-0.05</v>
      </c>
      <c r="BB26" s="55">
        <v>0.6</v>
      </c>
      <c r="BC26" s="55">
        <v>-1.18</v>
      </c>
      <c r="BD26" s="55">
        <v>-1.62</v>
      </c>
      <c r="BE26" s="55">
        <v>-1.5</v>
      </c>
      <c r="BF26" s="55">
        <v>-0.58</v>
      </c>
      <c r="BG26" s="55">
        <v>0.75</v>
      </c>
      <c r="BH26" s="55">
        <v>3.77</v>
      </c>
      <c r="BI26" s="55">
        <v>-0.26</v>
      </c>
      <c r="BJ26" s="55">
        <v>-0.69</v>
      </c>
      <c r="BK26" s="55">
        <v>0.92</v>
      </c>
      <c r="BL26" s="55">
        <v>-0.16</v>
      </c>
      <c r="BM26" s="55">
        <v>-1.61</v>
      </c>
      <c r="BN26" s="55">
        <v>-1.7</v>
      </c>
      <c r="BO26" s="55">
        <v>-0.07</v>
      </c>
      <c r="BP26" s="55">
        <v>-0.78</v>
      </c>
      <c r="BQ26" s="55">
        <v>1.68</v>
      </c>
      <c r="BR26" s="55">
        <v>1.07</v>
      </c>
      <c r="BS26" s="55">
        <v>-0.77</v>
      </c>
      <c r="BT26" s="55">
        <v>1.42</v>
      </c>
      <c r="BU26" s="55">
        <v>-0.83</v>
      </c>
      <c r="BV26" s="55">
        <v>-2.76</v>
      </c>
      <c r="BW26" s="55">
        <v>-0.86</v>
      </c>
      <c r="BX26" s="55">
        <v>1.08</v>
      </c>
      <c r="BY26" s="55">
        <v>-2.44</v>
      </c>
      <c r="BZ26" s="55">
        <v>-2.9</v>
      </c>
      <c r="CA26" s="55">
        <v>3.41</v>
      </c>
      <c r="CB26" s="55">
        <v>-0.8</v>
      </c>
      <c r="CC26" s="55">
        <v>-0.51</v>
      </c>
      <c r="CD26" s="55">
        <v>-0.46</v>
      </c>
      <c r="CE26" s="55">
        <v>0.15</v>
      </c>
      <c r="CF26" s="55">
        <v>-0.19230769230769232</v>
      </c>
      <c r="CG26" s="118">
        <v>-0.09694759636508765</v>
      </c>
    </row>
    <row r="27" spans="1:32" ht="12.75">
      <c r="A27" s="3" t="e">
        <f>IF(Demography!#REF!="","",Demography!#REF!)</f>
        <v>#REF!</v>
      </c>
      <c r="AF27" s="82" t="s">
        <v>320</v>
      </c>
    </row>
    <row r="28" spans="1:44" ht="12.75">
      <c r="A28" s="3" t="e">
        <f>IF(Demography!#REF!="","",Demography!#REF!)</f>
        <v>#REF!</v>
      </c>
      <c r="B28" s="370" t="s">
        <v>329</v>
      </c>
      <c r="C28" s="261" t="s">
        <v>320</v>
      </c>
      <c r="D28"/>
      <c r="E28"/>
      <c r="F28"/>
      <c r="G28"/>
      <c r="H28"/>
      <c r="I28"/>
      <c r="J28"/>
      <c r="AF28" s="88" t="s">
        <v>189</v>
      </c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</row>
    <row r="29" spans="1:44" ht="12.75">
      <c r="A29" s="3"/>
      <c r="B29" s="370"/>
      <c r="C29" s="94" t="s">
        <v>206</v>
      </c>
      <c r="AF29" s="389" t="s">
        <v>277</v>
      </c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</row>
    <row r="30" spans="1:114" s="80" customFormat="1" ht="12.75">
      <c r="A30" s="76" t="e">
        <f>IF(Demography!#REF!="","",Demography!#REF!)</f>
        <v>#REF!</v>
      </c>
      <c r="B30" s="370"/>
      <c r="C30" s="77" t="s">
        <v>153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</row>
    <row r="31" spans="2:85" s="80" customFormat="1" ht="12.75">
      <c r="B31" s="370"/>
      <c r="C31" s="81" t="s">
        <v>159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389"/>
      <c r="AG31" s="389"/>
      <c r="AH31" s="389"/>
      <c r="AI31" s="389"/>
      <c r="AJ31" s="389"/>
      <c r="AK31" s="389"/>
      <c r="AL31" s="389"/>
      <c r="AM31" s="389"/>
      <c r="AN31" s="389"/>
      <c r="AO31" s="389"/>
      <c r="AP31" s="389"/>
      <c r="AQ31" s="389"/>
      <c r="AR31" s="389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</row>
    <row r="32" spans="3:85" s="80" customFormat="1" ht="12.75">
      <c r="C32" s="81" t="s">
        <v>157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8" t="s">
        <v>190</v>
      </c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</row>
    <row r="33" spans="3:85" s="80" customFormat="1" ht="12.75">
      <c r="C33" s="81" t="s">
        <v>158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389" t="s">
        <v>191</v>
      </c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</row>
    <row r="34" spans="3:85" s="80" customFormat="1" ht="12.75">
      <c r="C34" s="388" t="s">
        <v>278</v>
      </c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</row>
    <row r="35" spans="3:85" s="80" customFormat="1" ht="17.25" customHeight="1"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389" t="s">
        <v>279</v>
      </c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</row>
    <row r="36" spans="3:85" s="80" customFormat="1" ht="12.75">
      <c r="C36" s="81" t="s">
        <v>169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389"/>
      <c r="AG36" s="389"/>
      <c r="AH36" s="389"/>
      <c r="AI36" s="389"/>
      <c r="AJ36" s="389"/>
      <c r="AK36" s="389"/>
      <c r="AL36" s="389"/>
      <c r="AM36" s="389"/>
      <c r="AN36" s="389"/>
      <c r="AO36" s="389"/>
      <c r="AP36" s="389"/>
      <c r="AQ36" s="389"/>
      <c r="AR36" s="389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</row>
    <row r="37" spans="3:85" s="81" customFormat="1" ht="12.75">
      <c r="C37" s="81" t="s">
        <v>170</v>
      </c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</row>
    <row r="38" spans="3:85" s="81" customFormat="1" ht="12.75">
      <c r="C38" s="81" t="s">
        <v>171</v>
      </c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</row>
    <row r="39" spans="3:85" s="81" customFormat="1" ht="12.75">
      <c r="C39" s="81" t="s">
        <v>280</v>
      </c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</row>
    <row r="40" spans="3:85" s="81" customFormat="1" ht="12.75">
      <c r="C40" s="388" t="s">
        <v>281</v>
      </c>
      <c r="D40" s="388"/>
      <c r="E40" s="388"/>
      <c r="F40" s="388"/>
      <c r="G40" s="388"/>
      <c r="H40" s="388"/>
      <c r="I40" s="3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</row>
    <row r="41" spans="3:85" s="75" customFormat="1" ht="12.75">
      <c r="C41" s="388"/>
      <c r="D41" s="388"/>
      <c r="E41" s="388"/>
      <c r="F41" s="388"/>
      <c r="G41" s="388"/>
      <c r="H41" s="388"/>
      <c r="I41" s="3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</row>
    <row r="42" spans="3:85" s="81" customFormat="1" ht="12.75">
      <c r="C42" s="81" t="s">
        <v>178</v>
      </c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</row>
    <row r="43" spans="3:85" s="81" customFormat="1" ht="12.75">
      <c r="C43" s="81" t="s">
        <v>282</v>
      </c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</row>
    <row r="44" spans="3:85" s="80" customFormat="1" ht="12.75"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</row>
    <row r="45" spans="3:85" s="80" customFormat="1" ht="12.75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</row>
    <row r="46" spans="3:85" s="80" customFormat="1" ht="12.75"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</row>
    <row r="47" spans="3:85" s="80" customFormat="1" ht="12.75"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</row>
    <row r="48" spans="3:85" s="80" customFormat="1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</row>
    <row r="49" spans="3:85" s="80" customFormat="1" ht="12.75"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</row>
    <row r="50" spans="3:85" s="80" customFormat="1" ht="12.75"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</row>
  </sheetData>
  <mergeCells count="13">
    <mergeCell ref="CF1:CG2"/>
    <mergeCell ref="B1:B2"/>
    <mergeCell ref="C1:AR1"/>
    <mergeCell ref="AF29:AR31"/>
    <mergeCell ref="B28:B31"/>
    <mergeCell ref="C40:I41"/>
    <mergeCell ref="AF35:AR36"/>
    <mergeCell ref="C34:N35"/>
    <mergeCell ref="AF2:AR2"/>
    <mergeCell ref="AF33:AR34"/>
    <mergeCell ref="W2:AE2"/>
    <mergeCell ref="C2:F2"/>
    <mergeCell ref="G2:V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zoomScale="75" zoomScaleNormal="75" workbookViewId="0" topLeftCell="A1">
      <pane xSplit="1" topLeftCell="AG1" activePane="topRight" state="frozen"/>
      <selection pane="topLeft" activeCell="A1" sqref="A1"/>
      <selection pane="topRight" activeCell="AJ17" sqref="AJ17"/>
    </sheetView>
  </sheetViews>
  <sheetFormatPr defaultColWidth="9.140625" defaultRowHeight="12"/>
  <cols>
    <col min="1" max="1" width="21.140625" style="1" customWidth="1"/>
    <col min="2" max="2" width="14.28125" style="1" customWidth="1"/>
    <col min="3" max="3" width="15.421875" style="1" customWidth="1"/>
    <col min="4" max="4" width="12.8515625" style="1" customWidth="1"/>
    <col min="5" max="5" width="12.00390625" style="1" customWidth="1"/>
    <col min="6" max="6" width="15.7109375" style="1" customWidth="1"/>
    <col min="7" max="7" width="12.28125" style="1" customWidth="1"/>
    <col min="8" max="9" width="14.421875" style="1" customWidth="1"/>
    <col min="10" max="10" width="12.00390625" style="1" customWidth="1"/>
    <col min="11" max="11" width="20.00390625" style="1" customWidth="1"/>
    <col min="12" max="12" width="14.7109375" style="1" customWidth="1"/>
    <col min="13" max="13" width="16.28125" style="1" customWidth="1"/>
    <col min="14" max="14" width="12.8515625" style="1" customWidth="1"/>
    <col min="15" max="15" width="12.140625" style="1" customWidth="1"/>
    <col min="16" max="16" width="13.140625" style="1" customWidth="1"/>
    <col min="17" max="17" width="12.28125" style="1" customWidth="1"/>
    <col min="18" max="18" width="13.8515625" style="1" customWidth="1"/>
    <col min="19" max="19" width="12.00390625" style="1" customWidth="1"/>
    <col min="20" max="20" width="19.7109375" style="1" customWidth="1"/>
    <col min="21" max="21" width="19.8515625" style="1" customWidth="1"/>
    <col min="22" max="22" width="21.421875" style="1" customWidth="1"/>
    <col min="23" max="23" width="20.00390625" style="1" customWidth="1"/>
    <col min="24" max="24" width="12.421875" style="1" customWidth="1"/>
    <col min="25" max="25" width="13.00390625" style="1" customWidth="1"/>
    <col min="26" max="27" width="12.140625" style="1" customWidth="1"/>
    <col min="28" max="28" width="14.7109375" style="1" customWidth="1"/>
    <col min="29" max="29" width="19.28125" style="1" customWidth="1"/>
    <col min="30" max="30" width="16.00390625" style="1" customWidth="1"/>
    <col min="31" max="31" width="13.7109375" style="1" customWidth="1"/>
    <col min="32" max="32" width="14.421875" style="1" customWidth="1"/>
    <col min="33" max="33" width="17.421875" style="1" customWidth="1"/>
    <col min="34" max="34" width="15.421875" style="1" customWidth="1"/>
    <col min="35" max="35" width="14.421875" style="1" customWidth="1"/>
    <col min="36" max="36" width="20.421875" style="1" customWidth="1"/>
    <col min="37" max="37" width="12.00390625" style="1" customWidth="1"/>
    <col min="38" max="38" width="15.140625" style="1" customWidth="1"/>
    <col min="39" max="40" width="12.00390625" style="1" customWidth="1"/>
    <col min="41" max="41" width="15.421875" style="1" customWidth="1"/>
    <col min="42" max="42" width="12.00390625" style="1" customWidth="1"/>
    <col min="43" max="43" width="14.8515625" style="1" customWidth="1"/>
    <col min="44" max="44" width="14.140625" style="1" customWidth="1"/>
    <col min="45" max="46" width="12.00390625" style="1" customWidth="1"/>
    <col min="47" max="47" width="15.8515625" style="1" customWidth="1"/>
    <col min="48" max="48" width="17.00390625" style="1" customWidth="1"/>
    <col min="49" max="50" width="12.00390625" style="1" customWidth="1"/>
    <col min="51" max="51" width="13.421875" style="1" customWidth="1"/>
    <col min="52" max="52" width="12.8515625" style="1" customWidth="1"/>
    <col min="53" max="53" width="13.421875" style="1" customWidth="1"/>
    <col min="54" max="54" width="12.00390625" style="1" customWidth="1"/>
    <col min="55" max="55" width="19.28125" style="1" customWidth="1"/>
    <col min="56" max="56" width="19.140625" style="1" customWidth="1"/>
    <col min="57" max="57" width="21.28125" style="1" customWidth="1"/>
    <col min="58" max="58" width="19.28125" style="1" customWidth="1"/>
    <col min="59" max="59" width="12.00390625" style="1" customWidth="1"/>
    <col min="60" max="60" width="17.421875" style="1" customWidth="1"/>
    <col min="61" max="62" width="12.00390625" style="1" customWidth="1"/>
    <col min="63" max="63" width="15.28125" style="1" customWidth="1"/>
    <col min="64" max="64" width="19.140625" style="1" customWidth="1"/>
    <col min="65" max="65" width="14.00390625" style="1" customWidth="1"/>
    <col min="66" max="66" width="12.8515625" style="1" customWidth="1"/>
    <col min="67" max="67" width="12.00390625" style="1" customWidth="1"/>
    <col min="68" max="68" width="17.421875" style="1" customWidth="1"/>
    <col min="69" max="69" width="15.28125" style="1" customWidth="1"/>
    <col min="70" max="70" width="15.140625" style="1" customWidth="1"/>
    <col min="71" max="71" width="18.00390625" style="1" customWidth="1"/>
    <col min="72" max="72" width="12.00390625" style="1" customWidth="1"/>
    <col min="73" max="73" width="18.140625" style="1" customWidth="1"/>
    <col min="74" max="16384" width="12.00390625" style="1" customWidth="1"/>
  </cols>
  <sheetData>
    <row r="1" spans="1:256" s="91" customFormat="1" ht="96" customHeight="1">
      <c r="A1" s="362" t="s">
        <v>118</v>
      </c>
      <c r="B1" s="405" t="s">
        <v>318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262" t="s">
        <v>205</v>
      </c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407" t="s">
        <v>205</v>
      </c>
      <c r="BU1" s="362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:73" s="96" customFormat="1" ht="64.5" customHeight="1">
      <c r="A2" s="362"/>
      <c r="B2" s="401" t="s">
        <v>6</v>
      </c>
      <c r="C2" s="402"/>
      <c r="D2" s="403" t="s">
        <v>7</v>
      </c>
      <c r="E2" s="404"/>
      <c r="F2" s="404"/>
      <c r="G2" s="404"/>
      <c r="H2" s="404"/>
      <c r="I2" s="408" t="s">
        <v>13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12" t="s">
        <v>43</v>
      </c>
      <c r="U2" s="412"/>
      <c r="V2" s="412" t="s">
        <v>44</v>
      </c>
      <c r="W2" s="412"/>
      <c r="X2" s="403" t="s">
        <v>3</v>
      </c>
      <c r="Y2" s="403"/>
      <c r="Z2" s="409" t="s">
        <v>22</v>
      </c>
      <c r="AA2" s="409"/>
      <c r="AB2" s="409"/>
      <c r="AC2" s="409"/>
      <c r="AD2" s="409"/>
      <c r="AE2" s="409"/>
      <c r="AF2" s="409"/>
      <c r="AG2" s="410" t="s">
        <v>23</v>
      </c>
      <c r="AH2" s="410"/>
      <c r="AI2" s="410"/>
      <c r="AJ2" s="411"/>
      <c r="AK2" s="401" t="s">
        <v>6</v>
      </c>
      <c r="AL2" s="402"/>
      <c r="AM2" s="403" t="s">
        <v>7</v>
      </c>
      <c r="AN2" s="404"/>
      <c r="AO2" s="404"/>
      <c r="AP2" s="404"/>
      <c r="AQ2" s="404"/>
      <c r="AR2" s="408" t="s">
        <v>13</v>
      </c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12" t="s">
        <v>43</v>
      </c>
      <c r="BD2" s="412"/>
      <c r="BE2" s="412" t="s">
        <v>44</v>
      </c>
      <c r="BF2" s="412"/>
      <c r="BG2" s="403" t="s">
        <v>3</v>
      </c>
      <c r="BH2" s="403"/>
      <c r="BI2" s="409" t="s">
        <v>22</v>
      </c>
      <c r="BJ2" s="409"/>
      <c r="BK2" s="409"/>
      <c r="BL2" s="409"/>
      <c r="BM2" s="409"/>
      <c r="BN2" s="409"/>
      <c r="BO2" s="409"/>
      <c r="BP2" s="410" t="s">
        <v>23</v>
      </c>
      <c r="BQ2" s="410"/>
      <c r="BR2" s="410"/>
      <c r="BS2" s="411"/>
      <c r="BT2" s="407"/>
      <c r="BU2" s="362"/>
    </row>
    <row r="3" spans="1:73" s="96" customFormat="1" ht="114" customHeight="1">
      <c r="A3" s="90" t="s">
        <v>55</v>
      </c>
      <c r="B3" s="90" t="s">
        <v>210</v>
      </c>
      <c r="C3" s="90" t="s">
        <v>211</v>
      </c>
      <c r="D3" s="30" t="s">
        <v>212</v>
      </c>
      <c r="E3" s="90" t="s">
        <v>213</v>
      </c>
      <c r="F3" s="30" t="s">
        <v>214</v>
      </c>
      <c r="G3" s="90" t="s">
        <v>215</v>
      </c>
      <c r="H3" s="90" t="s">
        <v>216</v>
      </c>
      <c r="I3" s="90" t="s">
        <v>217</v>
      </c>
      <c r="J3" s="257" t="s">
        <v>218</v>
      </c>
      <c r="K3" s="90" t="s">
        <v>283</v>
      </c>
      <c r="L3" s="257" t="s">
        <v>219</v>
      </c>
      <c r="M3" s="257" t="s">
        <v>220</v>
      </c>
      <c r="N3" s="90" t="s">
        <v>221</v>
      </c>
      <c r="O3" s="90" t="s">
        <v>222</v>
      </c>
      <c r="P3" s="90" t="s">
        <v>223</v>
      </c>
      <c r="Q3" s="90" t="s">
        <v>224</v>
      </c>
      <c r="R3" s="90" t="s">
        <v>225</v>
      </c>
      <c r="S3" s="257" t="s">
        <v>226</v>
      </c>
      <c r="T3" s="234" t="s">
        <v>227</v>
      </c>
      <c r="U3" s="234" t="s">
        <v>228</v>
      </c>
      <c r="V3" s="234" t="s">
        <v>229</v>
      </c>
      <c r="W3" s="234" t="s">
        <v>230</v>
      </c>
      <c r="X3" s="30" t="s">
        <v>231</v>
      </c>
      <c r="Y3" s="90" t="s">
        <v>232</v>
      </c>
      <c r="Z3" s="90" t="s">
        <v>233</v>
      </c>
      <c r="AA3" s="90" t="s">
        <v>234</v>
      </c>
      <c r="AB3" s="90" t="s">
        <v>235</v>
      </c>
      <c r="AC3" s="90" t="s">
        <v>236</v>
      </c>
      <c r="AD3" s="90" t="s">
        <v>237</v>
      </c>
      <c r="AE3" s="90" t="s">
        <v>238</v>
      </c>
      <c r="AF3" s="90" t="s">
        <v>239</v>
      </c>
      <c r="AG3" s="90" t="s">
        <v>240</v>
      </c>
      <c r="AH3" s="90" t="s">
        <v>241</v>
      </c>
      <c r="AI3" s="234" t="s">
        <v>242</v>
      </c>
      <c r="AJ3" s="274" t="s">
        <v>243</v>
      </c>
      <c r="AK3" s="273" t="s">
        <v>210</v>
      </c>
      <c r="AL3" s="273" t="s">
        <v>211</v>
      </c>
      <c r="AM3" s="275" t="s">
        <v>212</v>
      </c>
      <c r="AN3" s="273" t="s">
        <v>213</v>
      </c>
      <c r="AO3" s="275" t="s">
        <v>214</v>
      </c>
      <c r="AP3" s="273" t="s">
        <v>215</v>
      </c>
      <c r="AQ3" s="273" t="s">
        <v>216</v>
      </c>
      <c r="AR3" s="273" t="s">
        <v>217</v>
      </c>
      <c r="AS3" s="276" t="s">
        <v>218</v>
      </c>
      <c r="AT3" s="273" t="s">
        <v>283</v>
      </c>
      <c r="AU3" s="276" t="s">
        <v>219</v>
      </c>
      <c r="AV3" s="276" t="s">
        <v>220</v>
      </c>
      <c r="AW3" s="273" t="s">
        <v>221</v>
      </c>
      <c r="AX3" s="273" t="s">
        <v>222</v>
      </c>
      <c r="AY3" s="273" t="s">
        <v>223</v>
      </c>
      <c r="AZ3" s="273" t="s">
        <v>224</v>
      </c>
      <c r="BA3" s="273" t="s">
        <v>225</v>
      </c>
      <c r="BB3" s="276" t="s">
        <v>226</v>
      </c>
      <c r="BC3" s="277" t="s">
        <v>227</v>
      </c>
      <c r="BD3" s="277" t="s">
        <v>228</v>
      </c>
      <c r="BE3" s="277" t="s">
        <v>229</v>
      </c>
      <c r="BF3" s="277" t="s">
        <v>230</v>
      </c>
      <c r="BG3" s="275" t="s">
        <v>231</v>
      </c>
      <c r="BH3" s="273" t="s">
        <v>232</v>
      </c>
      <c r="BI3" s="273" t="s">
        <v>233</v>
      </c>
      <c r="BJ3" s="273" t="s">
        <v>234</v>
      </c>
      <c r="BK3" s="273" t="s">
        <v>235</v>
      </c>
      <c r="BL3" s="273" t="s">
        <v>236</v>
      </c>
      <c r="BM3" s="273" t="s">
        <v>237</v>
      </c>
      <c r="BN3" s="273" t="s">
        <v>238</v>
      </c>
      <c r="BO3" s="273" t="s">
        <v>239</v>
      </c>
      <c r="BP3" s="273" t="s">
        <v>240</v>
      </c>
      <c r="BQ3" s="273" t="s">
        <v>241</v>
      </c>
      <c r="BR3" s="277" t="s">
        <v>242</v>
      </c>
      <c r="BS3" s="273" t="s">
        <v>243</v>
      </c>
      <c r="BT3" s="264" t="s">
        <v>24</v>
      </c>
      <c r="BU3" s="264" t="s">
        <v>289</v>
      </c>
    </row>
    <row r="4" spans="1:73" ht="12.75">
      <c r="A4" s="4">
        <f>IF(Demography!A3="","",Demography!A3)</f>
        <v>970</v>
      </c>
      <c r="B4" s="1">
        <v>1</v>
      </c>
      <c r="C4" s="1">
        <v>4</v>
      </c>
      <c r="D4" s="1">
        <v>1</v>
      </c>
      <c r="E4" s="1" t="s">
        <v>34</v>
      </c>
      <c r="F4" s="1" t="s">
        <v>34</v>
      </c>
      <c r="G4" s="1">
        <v>3</v>
      </c>
      <c r="H4" s="1">
        <v>3</v>
      </c>
      <c r="I4" s="1">
        <v>4</v>
      </c>
      <c r="J4" s="1">
        <v>4</v>
      </c>
      <c r="K4" s="1" t="s">
        <v>34</v>
      </c>
      <c r="L4" s="1">
        <v>4</v>
      </c>
      <c r="M4" s="1">
        <v>4</v>
      </c>
      <c r="N4" s="1">
        <v>1</v>
      </c>
      <c r="O4" s="1">
        <v>3</v>
      </c>
      <c r="P4" s="1">
        <v>3</v>
      </c>
      <c r="Q4" s="1">
        <v>3</v>
      </c>
      <c r="R4" s="1">
        <v>4</v>
      </c>
      <c r="S4" s="1">
        <v>2</v>
      </c>
      <c r="T4" s="1">
        <v>2</v>
      </c>
      <c r="U4" s="1">
        <v>2</v>
      </c>
      <c r="V4" s="1">
        <v>2</v>
      </c>
      <c r="W4" s="1">
        <v>3</v>
      </c>
      <c r="X4" s="1">
        <v>3</v>
      </c>
      <c r="Y4" s="1">
        <v>2</v>
      </c>
      <c r="Z4" s="1">
        <v>3</v>
      </c>
      <c r="AA4" s="1">
        <v>3</v>
      </c>
      <c r="AB4" s="1">
        <v>1</v>
      </c>
      <c r="AC4" s="1">
        <v>2</v>
      </c>
      <c r="AD4" s="1">
        <v>1</v>
      </c>
      <c r="AE4" s="1">
        <v>3</v>
      </c>
      <c r="AF4" s="1">
        <v>3</v>
      </c>
      <c r="AG4" s="1">
        <v>1</v>
      </c>
      <c r="AH4" s="1">
        <v>2</v>
      </c>
      <c r="AI4" s="1">
        <v>2</v>
      </c>
      <c r="AJ4" s="1">
        <v>3</v>
      </c>
      <c r="AK4" s="121">
        <v>-3.94</v>
      </c>
      <c r="AL4" s="114">
        <v>1.56</v>
      </c>
      <c r="AM4" s="16">
        <v>-4.44</v>
      </c>
      <c r="AN4" s="16" t="s">
        <v>34</v>
      </c>
      <c r="AO4" s="16" t="s">
        <v>34</v>
      </c>
      <c r="AP4" s="16">
        <v>0.05</v>
      </c>
      <c r="AQ4" s="16">
        <v>-0.28</v>
      </c>
      <c r="AR4" s="16">
        <v>1.68</v>
      </c>
      <c r="AS4" s="16">
        <v>2.43</v>
      </c>
      <c r="AT4" s="16" t="s">
        <v>34</v>
      </c>
      <c r="AU4" s="16">
        <v>0.64</v>
      </c>
      <c r="AV4" s="16">
        <v>1.1</v>
      </c>
      <c r="AW4" s="16">
        <v>-3.05</v>
      </c>
      <c r="AX4" s="16">
        <v>-0.11</v>
      </c>
      <c r="AY4" s="16">
        <v>-0.02</v>
      </c>
      <c r="AZ4" s="16">
        <v>0.12</v>
      </c>
      <c r="BA4" s="16">
        <v>0.19</v>
      </c>
      <c r="BB4" s="16">
        <v>0.28</v>
      </c>
      <c r="BC4" s="16">
        <v>-0.5</v>
      </c>
      <c r="BD4" s="16">
        <v>-0.1</v>
      </c>
      <c r="BE4" s="16">
        <v>-0.42</v>
      </c>
      <c r="BF4" s="16">
        <v>0.07</v>
      </c>
      <c r="BG4" s="16">
        <v>0.81</v>
      </c>
      <c r="BH4" s="16">
        <v>-1.1</v>
      </c>
      <c r="BI4" s="16">
        <v>-0.03</v>
      </c>
      <c r="BJ4" s="16">
        <v>-0.69</v>
      </c>
      <c r="BK4" s="16">
        <v>-2.36</v>
      </c>
      <c r="BL4" s="16">
        <v>-1.29</v>
      </c>
      <c r="BM4" s="16">
        <v>-2.61</v>
      </c>
      <c r="BN4" s="16">
        <v>0.25</v>
      </c>
      <c r="BO4" s="16">
        <v>0.72</v>
      </c>
      <c r="BP4" s="16">
        <v>-1.63</v>
      </c>
      <c r="BQ4" s="16">
        <v>-0.92</v>
      </c>
      <c r="BR4" s="16">
        <v>-0.74</v>
      </c>
      <c r="BS4" s="16">
        <v>0.07</v>
      </c>
      <c r="BT4" s="16"/>
      <c r="BU4" s="16"/>
    </row>
    <row r="5" spans="1:73" ht="12.75">
      <c r="A5" s="4">
        <f>IF(Demography!A4="","",Demography!A4)</f>
        <v>979</v>
      </c>
      <c r="B5" s="1">
        <v>1</v>
      </c>
      <c r="C5" s="1">
        <v>1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  <c r="J5" s="1">
        <v>1</v>
      </c>
      <c r="K5" s="1" t="s">
        <v>34</v>
      </c>
      <c r="L5" s="1">
        <v>1</v>
      </c>
      <c r="M5" s="1">
        <v>2</v>
      </c>
      <c r="N5" s="1">
        <v>1</v>
      </c>
      <c r="O5" s="1">
        <v>2</v>
      </c>
      <c r="P5" s="1">
        <v>2</v>
      </c>
      <c r="Q5" s="1">
        <v>2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3</v>
      </c>
      <c r="Z5" s="1">
        <v>2</v>
      </c>
      <c r="AA5" s="1">
        <v>1</v>
      </c>
      <c r="AB5" s="1">
        <v>1</v>
      </c>
      <c r="AC5" s="1">
        <v>1</v>
      </c>
      <c r="AD5" s="1">
        <v>1</v>
      </c>
      <c r="AE5" s="1">
        <v>2</v>
      </c>
      <c r="AF5" s="1">
        <v>2</v>
      </c>
      <c r="AG5" s="1">
        <v>2</v>
      </c>
      <c r="AH5" s="1">
        <v>3</v>
      </c>
      <c r="AI5" s="1">
        <v>2</v>
      </c>
      <c r="AJ5" s="1">
        <v>3</v>
      </c>
      <c r="AK5" s="121">
        <v>-3.94</v>
      </c>
      <c r="AL5" s="114">
        <v>-1.71</v>
      </c>
      <c r="AM5" s="16">
        <v>-4.44</v>
      </c>
      <c r="AN5" s="16">
        <v>-1.93</v>
      </c>
      <c r="AO5" s="16">
        <v>-2.88</v>
      </c>
      <c r="AP5" s="16">
        <v>-0.88</v>
      </c>
      <c r="AQ5" s="16">
        <v>-2.63</v>
      </c>
      <c r="AR5" s="16">
        <v>-0.17</v>
      </c>
      <c r="AS5" s="16">
        <v>-0.84</v>
      </c>
      <c r="AT5" s="16" t="s">
        <v>34</v>
      </c>
      <c r="AU5" s="16">
        <v>-2.63</v>
      </c>
      <c r="AV5" s="16">
        <v>-0.75</v>
      </c>
      <c r="AW5" s="16">
        <v>-3.05</v>
      </c>
      <c r="AX5" s="16">
        <v>-1.04</v>
      </c>
      <c r="AY5" s="16">
        <v>-0.95</v>
      </c>
      <c r="AZ5" s="16">
        <v>-0.81</v>
      </c>
      <c r="BA5" s="16">
        <v>-3.08</v>
      </c>
      <c r="BB5" s="16">
        <v>-1.14</v>
      </c>
      <c r="BC5" s="16">
        <v>-1.92</v>
      </c>
      <c r="BD5" s="16">
        <v>-1.52</v>
      </c>
      <c r="BE5" s="16">
        <v>-1.84</v>
      </c>
      <c r="BF5" s="16">
        <v>-2.28</v>
      </c>
      <c r="BG5" s="16">
        <v>-1.54</v>
      </c>
      <c r="BH5" s="16">
        <v>-0.17</v>
      </c>
      <c r="BI5" s="16">
        <v>-0.96</v>
      </c>
      <c r="BJ5" s="16">
        <v>-3.04</v>
      </c>
      <c r="BK5" s="16">
        <v>-2.36</v>
      </c>
      <c r="BL5" s="16">
        <v>-2.71</v>
      </c>
      <c r="BM5" s="16">
        <v>-2.61</v>
      </c>
      <c r="BN5" s="16">
        <v>-0.68</v>
      </c>
      <c r="BO5" s="16">
        <v>-0.21</v>
      </c>
      <c r="BP5" s="16">
        <v>-0.21</v>
      </c>
      <c r="BQ5" s="16">
        <v>0.01</v>
      </c>
      <c r="BR5" s="16">
        <v>-0.74</v>
      </c>
      <c r="BS5" s="16">
        <v>0.07</v>
      </c>
      <c r="BT5" s="16"/>
      <c r="BU5" s="16"/>
    </row>
    <row r="6" spans="1:73" ht="12.75">
      <c r="A6" s="4">
        <f>IF(Demography!A5="","",Demography!A5)</f>
        <v>1035</v>
      </c>
      <c r="B6" s="1">
        <v>1</v>
      </c>
      <c r="C6" s="1">
        <v>2</v>
      </c>
      <c r="D6" s="1">
        <v>1</v>
      </c>
      <c r="E6" s="1" t="s">
        <v>34</v>
      </c>
      <c r="F6" s="1" t="s">
        <v>34</v>
      </c>
      <c r="G6" s="1">
        <v>2</v>
      </c>
      <c r="H6" s="1">
        <v>2</v>
      </c>
      <c r="I6" s="1">
        <v>3</v>
      </c>
      <c r="J6" s="1">
        <v>3</v>
      </c>
      <c r="K6" s="1" t="s">
        <v>34</v>
      </c>
      <c r="L6" s="1">
        <v>2</v>
      </c>
      <c r="M6" s="1">
        <v>2</v>
      </c>
      <c r="N6" s="1">
        <v>1</v>
      </c>
      <c r="O6" s="1">
        <v>3</v>
      </c>
      <c r="P6" s="1">
        <v>3</v>
      </c>
      <c r="Q6" s="1">
        <v>2</v>
      </c>
      <c r="R6" s="1">
        <v>2</v>
      </c>
      <c r="S6" s="1">
        <v>3</v>
      </c>
      <c r="T6" s="1">
        <v>3</v>
      </c>
      <c r="U6" s="1">
        <v>2</v>
      </c>
      <c r="V6" s="1">
        <v>4</v>
      </c>
      <c r="W6" s="1">
        <v>4</v>
      </c>
      <c r="X6" s="1">
        <v>3</v>
      </c>
      <c r="Y6" s="1">
        <v>3</v>
      </c>
      <c r="Z6" s="1">
        <v>3</v>
      </c>
      <c r="AA6" s="1">
        <v>2</v>
      </c>
      <c r="AB6" s="1">
        <v>3</v>
      </c>
      <c r="AC6" s="1">
        <v>3</v>
      </c>
      <c r="AD6" s="1">
        <v>3</v>
      </c>
      <c r="AE6" s="1">
        <v>4</v>
      </c>
      <c r="AF6" s="1">
        <v>4</v>
      </c>
      <c r="AG6" s="1">
        <v>2</v>
      </c>
      <c r="AH6" s="1">
        <v>3</v>
      </c>
      <c r="AI6" s="1">
        <v>2</v>
      </c>
      <c r="AJ6" s="1">
        <v>3</v>
      </c>
      <c r="AK6" s="121">
        <v>-3.94</v>
      </c>
      <c r="AL6" s="114">
        <v>-0.29</v>
      </c>
      <c r="AM6" s="16">
        <v>-4.44</v>
      </c>
      <c r="AN6" s="16" t="s">
        <v>34</v>
      </c>
      <c r="AO6" s="16" t="s">
        <v>34</v>
      </c>
      <c r="AP6" s="16">
        <v>-0.88</v>
      </c>
      <c r="AQ6" s="16">
        <v>-1.21</v>
      </c>
      <c r="AR6" s="16">
        <v>0.76</v>
      </c>
      <c r="AS6" s="16">
        <v>1.51</v>
      </c>
      <c r="AT6" s="16" t="s">
        <v>34</v>
      </c>
      <c r="AU6" s="16">
        <v>-1.21</v>
      </c>
      <c r="AV6" s="16">
        <v>-0.75</v>
      </c>
      <c r="AW6" s="16">
        <v>-3.05</v>
      </c>
      <c r="AX6" s="16">
        <v>-0.11</v>
      </c>
      <c r="AY6" s="16">
        <v>-0.02</v>
      </c>
      <c r="AZ6" s="16">
        <v>-0.81</v>
      </c>
      <c r="BA6" s="16">
        <v>-1.66</v>
      </c>
      <c r="BB6" s="16">
        <v>1.21</v>
      </c>
      <c r="BC6" s="16">
        <v>0.43</v>
      </c>
      <c r="BD6" s="16">
        <v>-0.1</v>
      </c>
      <c r="BE6" s="16">
        <v>1.43</v>
      </c>
      <c r="BF6" s="16">
        <v>0.99</v>
      </c>
      <c r="BG6" s="16">
        <v>0.81</v>
      </c>
      <c r="BH6" s="16">
        <v>-0.17</v>
      </c>
      <c r="BI6" s="16">
        <v>-0.03</v>
      </c>
      <c r="BJ6" s="16">
        <v>-1.62</v>
      </c>
      <c r="BK6" s="16">
        <v>-0.01</v>
      </c>
      <c r="BL6" s="16">
        <v>-0.36</v>
      </c>
      <c r="BM6" s="16">
        <v>-0.26</v>
      </c>
      <c r="BN6" s="16">
        <v>1.17</v>
      </c>
      <c r="BO6" s="16">
        <v>1.64</v>
      </c>
      <c r="BP6" s="16">
        <v>-0.21</v>
      </c>
      <c r="BQ6" s="16">
        <v>0.01</v>
      </c>
      <c r="BR6" s="16">
        <v>-0.74</v>
      </c>
      <c r="BS6" s="16">
        <v>0.07</v>
      </c>
      <c r="BT6" s="16"/>
      <c r="BU6" s="16"/>
    </row>
    <row r="7" spans="1:73" ht="12.75">
      <c r="A7" s="4">
        <f>IF(Demography!A6="","",Demography!A6)</f>
        <v>1018</v>
      </c>
      <c r="B7" s="1">
        <v>1</v>
      </c>
      <c r="C7" s="1">
        <v>2</v>
      </c>
      <c r="D7" s="1">
        <v>1</v>
      </c>
      <c r="E7" s="1" t="s">
        <v>34</v>
      </c>
      <c r="F7" s="1" t="s">
        <v>34</v>
      </c>
      <c r="G7" s="1">
        <v>2</v>
      </c>
      <c r="H7" s="1">
        <v>2</v>
      </c>
      <c r="I7" s="1">
        <v>2</v>
      </c>
      <c r="J7" s="1">
        <v>2</v>
      </c>
      <c r="K7" s="1" t="s">
        <v>34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3</v>
      </c>
      <c r="Z7" s="1">
        <v>2</v>
      </c>
      <c r="AA7" s="1">
        <v>1</v>
      </c>
      <c r="AB7" s="1">
        <v>2</v>
      </c>
      <c r="AC7" s="1">
        <v>2</v>
      </c>
      <c r="AD7" s="1">
        <v>2</v>
      </c>
      <c r="AE7" s="1">
        <v>2</v>
      </c>
      <c r="AF7" s="1">
        <v>2</v>
      </c>
      <c r="AG7" s="1">
        <v>1</v>
      </c>
      <c r="AH7" s="1">
        <v>1</v>
      </c>
      <c r="AI7" s="1">
        <v>1</v>
      </c>
      <c r="AJ7" s="1">
        <v>2</v>
      </c>
      <c r="AK7" s="121">
        <v>-3.94</v>
      </c>
      <c r="AL7" s="114">
        <v>-0.29</v>
      </c>
      <c r="AM7" s="16">
        <v>-4.44</v>
      </c>
      <c r="AN7" s="16" t="s">
        <v>34</v>
      </c>
      <c r="AO7" s="16" t="s">
        <v>34</v>
      </c>
      <c r="AP7" s="16">
        <v>-0.88</v>
      </c>
      <c r="AQ7" s="16">
        <v>-1.21</v>
      </c>
      <c r="AR7" s="16">
        <v>-0.17</v>
      </c>
      <c r="AS7" s="16">
        <v>0.58</v>
      </c>
      <c r="AT7" s="16" t="s">
        <v>34</v>
      </c>
      <c r="AU7" s="16">
        <v>-2.63</v>
      </c>
      <c r="AV7" s="16">
        <v>-2.17</v>
      </c>
      <c r="AW7" s="16">
        <v>-3.05</v>
      </c>
      <c r="AX7" s="16">
        <v>-2.46</v>
      </c>
      <c r="AY7" s="16">
        <v>-2.37</v>
      </c>
      <c r="AZ7" s="16">
        <v>-2.23</v>
      </c>
      <c r="BA7" s="16">
        <v>-3.08</v>
      </c>
      <c r="BB7" s="16">
        <v>-1.14</v>
      </c>
      <c r="BC7" s="16">
        <v>-1.92</v>
      </c>
      <c r="BD7" s="16">
        <v>-1.52</v>
      </c>
      <c r="BE7" s="16">
        <v>-1.84</v>
      </c>
      <c r="BF7" s="16">
        <v>-2.28</v>
      </c>
      <c r="BG7" s="16">
        <v>-1.54</v>
      </c>
      <c r="BH7" s="16">
        <v>-0.17</v>
      </c>
      <c r="BI7" s="16">
        <v>-0.96</v>
      </c>
      <c r="BJ7" s="16">
        <v>-3.04</v>
      </c>
      <c r="BK7" s="16">
        <v>-0.94</v>
      </c>
      <c r="BL7" s="16">
        <v>-1.29</v>
      </c>
      <c r="BM7" s="16">
        <v>-1.19</v>
      </c>
      <c r="BN7" s="16">
        <v>-0.68</v>
      </c>
      <c r="BO7" s="16">
        <v>-0.21</v>
      </c>
      <c r="BP7" s="16">
        <v>-1.63</v>
      </c>
      <c r="BQ7" s="16">
        <v>-2.34</v>
      </c>
      <c r="BR7" s="16">
        <v>-2.16</v>
      </c>
      <c r="BS7" s="16">
        <v>-0.86</v>
      </c>
      <c r="BT7" s="16"/>
      <c r="BU7" s="16"/>
    </row>
    <row r="8" spans="1:73" ht="12.75">
      <c r="A8" s="315">
        <f>IF(Demography!A7="","",Demography!A7)</f>
        <v>1106</v>
      </c>
      <c r="B8" s="1">
        <v>1</v>
      </c>
      <c r="C8" s="1">
        <v>2</v>
      </c>
      <c r="D8" s="1">
        <v>1</v>
      </c>
      <c r="E8" s="1" t="s">
        <v>34</v>
      </c>
      <c r="F8" s="1" t="s">
        <v>34</v>
      </c>
      <c r="G8" s="1">
        <v>2</v>
      </c>
      <c r="H8" s="1">
        <v>2</v>
      </c>
      <c r="I8" s="1">
        <v>3</v>
      </c>
      <c r="J8" s="1">
        <v>2</v>
      </c>
      <c r="K8" s="1">
        <v>3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3</v>
      </c>
      <c r="T8" s="1">
        <v>2</v>
      </c>
      <c r="U8" s="1">
        <v>2</v>
      </c>
      <c r="V8" s="1">
        <v>1</v>
      </c>
      <c r="W8" s="1">
        <v>1</v>
      </c>
      <c r="X8" s="1">
        <v>2</v>
      </c>
      <c r="Y8" s="1">
        <v>2</v>
      </c>
      <c r="Z8" s="1">
        <v>1.5</v>
      </c>
      <c r="AA8" s="1">
        <v>2</v>
      </c>
      <c r="AB8" s="1">
        <v>2</v>
      </c>
      <c r="AC8" s="1">
        <v>2</v>
      </c>
      <c r="AD8" s="1">
        <v>2</v>
      </c>
      <c r="AE8" s="1">
        <v>2</v>
      </c>
      <c r="AF8" s="1">
        <v>2</v>
      </c>
      <c r="AG8" s="1">
        <v>3</v>
      </c>
      <c r="AH8" s="1">
        <v>3</v>
      </c>
      <c r="AI8" s="1">
        <v>1</v>
      </c>
      <c r="AJ8" s="1">
        <v>1.5</v>
      </c>
      <c r="AK8" s="121">
        <v>-3.94</v>
      </c>
      <c r="AL8" s="114">
        <v>-0.29</v>
      </c>
      <c r="AM8" s="16">
        <v>-4.44</v>
      </c>
      <c r="AN8" s="16" t="s">
        <v>34</v>
      </c>
      <c r="AO8" s="16" t="s">
        <v>34</v>
      </c>
      <c r="AP8" s="16">
        <v>-0.88</v>
      </c>
      <c r="AQ8" s="16">
        <v>-1.21</v>
      </c>
      <c r="AR8" s="16">
        <v>0.76</v>
      </c>
      <c r="AS8" s="16">
        <v>0.58</v>
      </c>
      <c r="AT8" s="16">
        <v>0.09</v>
      </c>
      <c r="AU8" s="16">
        <v>-2.63</v>
      </c>
      <c r="AV8" s="16">
        <v>-2.17</v>
      </c>
      <c r="AW8" s="16">
        <v>-3.05</v>
      </c>
      <c r="AX8" s="16">
        <v>-2.46</v>
      </c>
      <c r="AY8" s="16">
        <v>-2.37</v>
      </c>
      <c r="AZ8" s="16">
        <v>-2.23</v>
      </c>
      <c r="BA8" s="16">
        <v>-3.08</v>
      </c>
      <c r="BB8" s="16">
        <v>1.21</v>
      </c>
      <c r="BC8" s="16">
        <v>-0.5</v>
      </c>
      <c r="BD8" s="16">
        <v>-0.1</v>
      </c>
      <c r="BE8" s="16">
        <v>-1.84</v>
      </c>
      <c r="BF8" s="16">
        <v>-2.28</v>
      </c>
      <c r="BG8" s="16">
        <v>-0.12</v>
      </c>
      <c r="BH8" s="16">
        <v>-1.1</v>
      </c>
      <c r="BI8" s="16">
        <v>-2.38</v>
      </c>
      <c r="BJ8" s="16">
        <v>-1.62</v>
      </c>
      <c r="BK8" s="16">
        <v>-0.94</v>
      </c>
      <c r="BL8" s="16">
        <v>-1.29</v>
      </c>
      <c r="BM8" s="16">
        <v>-1.19</v>
      </c>
      <c r="BN8" s="16">
        <v>-0.68</v>
      </c>
      <c r="BO8" s="16">
        <v>-0.21</v>
      </c>
      <c r="BP8" s="16">
        <v>0.72</v>
      </c>
      <c r="BQ8" s="16">
        <v>0.01</v>
      </c>
      <c r="BR8" s="16">
        <v>-2.16</v>
      </c>
      <c r="BS8" s="16">
        <v>-2.28</v>
      </c>
      <c r="BT8" s="16">
        <v>-1.3354545454545454</v>
      </c>
      <c r="BU8" s="16">
        <v>-0.5597820945990529</v>
      </c>
    </row>
    <row r="9" spans="1:73" ht="12.75">
      <c r="A9" s="4">
        <f>IF(Demography!A8="","",Demography!A8)</f>
        <v>1109</v>
      </c>
      <c r="B9" s="1">
        <v>2</v>
      </c>
      <c r="C9" s="1">
        <v>4</v>
      </c>
      <c r="D9" s="1">
        <v>2</v>
      </c>
      <c r="E9" s="1">
        <v>3</v>
      </c>
      <c r="F9" s="1" t="s">
        <v>34</v>
      </c>
      <c r="G9" s="1">
        <v>3</v>
      </c>
      <c r="H9" s="1">
        <v>3</v>
      </c>
      <c r="I9" s="1">
        <v>4</v>
      </c>
      <c r="J9" s="1">
        <v>2</v>
      </c>
      <c r="K9" s="1" t="s">
        <v>34</v>
      </c>
      <c r="L9" s="1">
        <v>1</v>
      </c>
      <c r="M9" s="1">
        <v>1</v>
      </c>
      <c r="N9" s="1">
        <v>1</v>
      </c>
      <c r="O9" s="1">
        <v>1</v>
      </c>
      <c r="P9" s="1">
        <v>2</v>
      </c>
      <c r="Q9" s="1">
        <v>2</v>
      </c>
      <c r="R9" s="1">
        <v>2</v>
      </c>
      <c r="S9" s="1">
        <v>2</v>
      </c>
      <c r="T9" s="1">
        <v>1</v>
      </c>
      <c r="U9" s="1">
        <v>1</v>
      </c>
      <c r="V9" s="1">
        <v>1</v>
      </c>
      <c r="W9" s="1">
        <v>1</v>
      </c>
      <c r="X9" s="1">
        <v>3</v>
      </c>
      <c r="Y9" s="1">
        <v>3</v>
      </c>
      <c r="Z9" s="1">
        <v>2</v>
      </c>
      <c r="AA9" s="1">
        <v>1</v>
      </c>
      <c r="AB9" s="1">
        <v>2</v>
      </c>
      <c r="AC9" s="1">
        <v>2</v>
      </c>
      <c r="AD9" s="1">
        <v>1</v>
      </c>
      <c r="AE9" s="1">
        <v>1</v>
      </c>
      <c r="AF9" s="1">
        <v>3</v>
      </c>
      <c r="AG9" s="1">
        <v>2</v>
      </c>
      <c r="AH9" s="1">
        <v>2</v>
      </c>
      <c r="AI9" s="1">
        <v>3</v>
      </c>
      <c r="AJ9" s="1">
        <v>2</v>
      </c>
      <c r="AK9" s="121">
        <v>-2.52</v>
      </c>
      <c r="AL9" s="114">
        <v>1.56</v>
      </c>
      <c r="AM9" s="16">
        <v>-3.02</v>
      </c>
      <c r="AN9" s="16">
        <v>-1</v>
      </c>
      <c r="AO9" s="16" t="s">
        <v>34</v>
      </c>
      <c r="AP9" s="16">
        <v>0.05</v>
      </c>
      <c r="AQ9" s="16">
        <v>-0.28</v>
      </c>
      <c r="AR9" s="16">
        <v>1.68</v>
      </c>
      <c r="AS9" s="16">
        <v>0.58</v>
      </c>
      <c r="AT9" s="16" t="s">
        <v>34</v>
      </c>
      <c r="AU9" s="16">
        <v>-2.63</v>
      </c>
      <c r="AV9" s="16">
        <v>-2.17</v>
      </c>
      <c r="AW9" s="16">
        <v>-3.05</v>
      </c>
      <c r="AX9" s="16">
        <v>-2.46</v>
      </c>
      <c r="AY9" s="16">
        <v>-0.95</v>
      </c>
      <c r="AZ9" s="16">
        <v>-0.81</v>
      </c>
      <c r="BA9" s="16">
        <v>-1.66</v>
      </c>
      <c r="BB9" s="16">
        <v>0.28</v>
      </c>
      <c r="BC9" s="16">
        <v>-1.92</v>
      </c>
      <c r="BD9" s="16">
        <v>-1.52</v>
      </c>
      <c r="BE9" s="16">
        <v>-1.84</v>
      </c>
      <c r="BF9" s="16">
        <v>-2.28</v>
      </c>
      <c r="BG9" s="16">
        <v>0.81</v>
      </c>
      <c r="BH9" s="16">
        <v>-0.17</v>
      </c>
      <c r="BI9" s="16">
        <v>-0.96</v>
      </c>
      <c r="BJ9" s="16">
        <v>-3.04</v>
      </c>
      <c r="BK9" s="16">
        <v>-0.94</v>
      </c>
      <c r="BL9" s="16">
        <v>-1.29</v>
      </c>
      <c r="BM9" s="16">
        <v>-2.61</v>
      </c>
      <c r="BN9" s="16">
        <v>-2.1</v>
      </c>
      <c r="BO9" s="16">
        <v>0.72</v>
      </c>
      <c r="BP9" s="16">
        <v>-0.21</v>
      </c>
      <c r="BQ9" s="16">
        <v>-0.92</v>
      </c>
      <c r="BR9" s="16">
        <v>0.19</v>
      </c>
      <c r="BS9" s="16">
        <v>-0.86</v>
      </c>
      <c r="BT9" s="16">
        <v>-1.0709090909090913</v>
      </c>
      <c r="BU9" s="16">
        <v>-0.4255407600718305</v>
      </c>
    </row>
    <row r="10" spans="1:73" ht="12.75">
      <c r="A10" s="315">
        <f>IF(Demography!A9="","",Demography!A9)</f>
        <v>1054</v>
      </c>
      <c r="B10" s="1">
        <v>1</v>
      </c>
      <c r="C10" s="1">
        <v>3</v>
      </c>
      <c r="D10" s="1">
        <v>1</v>
      </c>
      <c r="E10" s="1">
        <v>1</v>
      </c>
      <c r="F10" s="1" t="s">
        <v>34</v>
      </c>
      <c r="G10" s="1">
        <v>4</v>
      </c>
      <c r="H10" s="1">
        <v>1</v>
      </c>
      <c r="I10" s="1">
        <v>3</v>
      </c>
      <c r="J10" s="1">
        <v>2</v>
      </c>
      <c r="K10" s="1" t="s">
        <v>34</v>
      </c>
      <c r="L10" s="1">
        <v>2</v>
      </c>
      <c r="M10" s="1">
        <v>2</v>
      </c>
      <c r="N10" s="1">
        <v>2</v>
      </c>
      <c r="O10" s="1">
        <v>1</v>
      </c>
      <c r="P10" s="1">
        <v>3</v>
      </c>
      <c r="Q10" s="1">
        <v>3</v>
      </c>
      <c r="R10" s="1">
        <v>2</v>
      </c>
      <c r="S10" s="1">
        <v>1</v>
      </c>
      <c r="T10" s="1">
        <v>2</v>
      </c>
      <c r="U10" s="1">
        <v>2</v>
      </c>
      <c r="V10" s="1">
        <v>2</v>
      </c>
      <c r="W10" s="1">
        <v>1</v>
      </c>
      <c r="X10" s="1">
        <v>3</v>
      </c>
      <c r="Y10" s="1">
        <v>2</v>
      </c>
      <c r="Z10" s="1">
        <v>2</v>
      </c>
      <c r="AA10" s="1">
        <v>2</v>
      </c>
      <c r="AB10" s="1">
        <v>3</v>
      </c>
      <c r="AC10" s="1">
        <v>3</v>
      </c>
      <c r="AD10" s="1">
        <v>1</v>
      </c>
      <c r="AE10" s="1">
        <v>1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21">
        <v>-3.94</v>
      </c>
      <c r="AL10" s="114">
        <v>0.64</v>
      </c>
      <c r="AM10" s="16">
        <v>-4.44</v>
      </c>
      <c r="AN10" s="16">
        <v>-3.35</v>
      </c>
      <c r="AO10" s="16" t="s">
        <v>34</v>
      </c>
      <c r="AP10" s="16">
        <v>0.97</v>
      </c>
      <c r="AQ10" s="16">
        <v>-2.63</v>
      </c>
      <c r="AR10" s="16">
        <v>0.76</v>
      </c>
      <c r="AS10" s="16">
        <v>0.58</v>
      </c>
      <c r="AT10" s="16" t="s">
        <v>34</v>
      </c>
      <c r="AU10" s="16">
        <v>-1.21</v>
      </c>
      <c r="AV10" s="16">
        <v>-0.75</v>
      </c>
      <c r="AW10" s="16">
        <v>-1.63</v>
      </c>
      <c r="AX10" s="16">
        <v>-2.46</v>
      </c>
      <c r="AY10" s="16">
        <v>-0.02</v>
      </c>
      <c r="AZ10" s="16">
        <v>0.12</v>
      </c>
      <c r="BA10" s="16">
        <v>-1.66</v>
      </c>
      <c r="BB10" s="16">
        <v>-1.14</v>
      </c>
      <c r="BC10" s="16">
        <v>-0.5</v>
      </c>
      <c r="BD10" s="16">
        <v>-0.1</v>
      </c>
      <c r="BE10" s="16">
        <v>-0.42</v>
      </c>
      <c r="BF10" s="16">
        <v>-2.28</v>
      </c>
      <c r="BG10" s="16">
        <v>0.81</v>
      </c>
      <c r="BH10" s="16">
        <v>-1.1</v>
      </c>
      <c r="BI10" s="16">
        <v>-0.96</v>
      </c>
      <c r="BJ10" s="16">
        <v>-1.62</v>
      </c>
      <c r="BK10" s="16">
        <v>-0.01</v>
      </c>
      <c r="BL10" s="16">
        <v>-0.36</v>
      </c>
      <c r="BM10" s="16">
        <v>-2.61</v>
      </c>
      <c r="BN10" s="16">
        <v>-2.1</v>
      </c>
      <c r="BO10" s="16">
        <v>-0.21</v>
      </c>
      <c r="BP10" s="16">
        <v>-0.21</v>
      </c>
      <c r="BQ10" s="16">
        <v>-0.92</v>
      </c>
      <c r="BR10" s="16">
        <v>-0.74</v>
      </c>
      <c r="BS10" s="16">
        <v>-0.86</v>
      </c>
      <c r="BT10" s="16">
        <v>-1.0409090909090915</v>
      </c>
      <c r="BU10" s="16">
        <v>-0.41152310209208504</v>
      </c>
    </row>
    <row r="11" spans="1:73" ht="12.75">
      <c r="A11" s="4">
        <f>IF(Demography!A10="","",Demography!A10)</f>
        <v>1141</v>
      </c>
      <c r="B11" s="1">
        <v>2</v>
      </c>
      <c r="C11" s="1">
        <v>4</v>
      </c>
      <c r="D11" s="1">
        <v>1</v>
      </c>
      <c r="E11" s="1" t="s">
        <v>34</v>
      </c>
      <c r="F11" s="1" t="s">
        <v>34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3</v>
      </c>
      <c r="O11" s="1">
        <v>4</v>
      </c>
      <c r="P11" s="1">
        <v>3</v>
      </c>
      <c r="Q11" s="1">
        <v>4</v>
      </c>
      <c r="R11" s="1">
        <v>3</v>
      </c>
      <c r="S11" s="1">
        <v>3</v>
      </c>
      <c r="T11" s="1">
        <v>3</v>
      </c>
      <c r="U11" s="1">
        <v>3</v>
      </c>
      <c r="V11" s="1">
        <v>3</v>
      </c>
      <c r="W11" s="1">
        <v>3</v>
      </c>
      <c r="X11" s="1">
        <v>3</v>
      </c>
      <c r="Y11" s="1">
        <v>4</v>
      </c>
      <c r="Z11" s="1">
        <v>4</v>
      </c>
      <c r="AA11" s="1">
        <v>3</v>
      </c>
      <c r="AB11" s="1">
        <v>1</v>
      </c>
      <c r="AC11" s="1">
        <v>1</v>
      </c>
      <c r="AD11" s="1">
        <v>1</v>
      </c>
      <c r="AE11" s="1">
        <v>2</v>
      </c>
      <c r="AF11" s="1">
        <v>2</v>
      </c>
      <c r="AG11" s="1">
        <v>3</v>
      </c>
      <c r="AH11" s="1">
        <v>3</v>
      </c>
      <c r="AI11" s="1">
        <v>4</v>
      </c>
      <c r="AJ11" s="1" t="s">
        <v>34</v>
      </c>
      <c r="AK11" s="121">
        <v>-2.52</v>
      </c>
      <c r="AL11" s="114">
        <v>1.56</v>
      </c>
      <c r="AM11" s="16">
        <v>-4.44</v>
      </c>
      <c r="AN11" s="16" t="s">
        <v>34</v>
      </c>
      <c r="AO11" s="16" t="s">
        <v>34</v>
      </c>
      <c r="AP11" s="16">
        <v>0.97</v>
      </c>
      <c r="AQ11" s="16">
        <v>0.64</v>
      </c>
      <c r="AR11" s="16">
        <v>1.68</v>
      </c>
      <c r="AS11" s="16">
        <v>2.43</v>
      </c>
      <c r="AT11" s="16">
        <v>1.01</v>
      </c>
      <c r="AU11" s="16">
        <v>0.64</v>
      </c>
      <c r="AV11" s="16">
        <v>1.1</v>
      </c>
      <c r="AW11" s="16">
        <v>-0.7</v>
      </c>
      <c r="AX11" s="16">
        <v>0.81</v>
      </c>
      <c r="AY11" s="16">
        <v>-0.02</v>
      </c>
      <c r="AZ11" s="16">
        <v>1.04</v>
      </c>
      <c r="BA11" s="16">
        <v>-0.73</v>
      </c>
      <c r="BB11" s="16">
        <v>1.21</v>
      </c>
      <c r="BC11" s="16">
        <v>0.43</v>
      </c>
      <c r="BD11" s="16">
        <v>0.83</v>
      </c>
      <c r="BE11" s="16">
        <v>0.51</v>
      </c>
      <c r="BF11" s="16">
        <v>0.07</v>
      </c>
      <c r="BG11" s="16">
        <v>0.81</v>
      </c>
      <c r="BH11" s="16">
        <v>0.75</v>
      </c>
      <c r="BI11" s="16">
        <v>0.89</v>
      </c>
      <c r="BJ11" s="16">
        <v>-0.69</v>
      </c>
      <c r="BK11" s="16">
        <v>-2.36</v>
      </c>
      <c r="BL11" s="16">
        <v>-2.71</v>
      </c>
      <c r="BM11" s="16">
        <v>-2.61</v>
      </c>
      <c r="BN11" s="16">
        <v>-0.68</v>
      </c>
      <c r="BO11" s="16">
        <v>-0.21</v>
      </c>
      <c r="BP11" s="16">
        <v>0.72</v>
      </c>
      <c r="BQ11" s="16">
        <v>0.01</v>
      </c>
      <c r="BR11" s="16">
        <v>1.11</v>
      </c>
      <c r="BS11" s="16" t="s">
        <v>34</v>
      </c>
      <c r="BT11" s="16">
        <v>0.04843750000000011</v>
      </c>
      <c r="BU11" s="16">
        <v>0.023705286958920407</v>
      </c>
    </row>
    <row r="12" spans="1:73" ht="12.75">
      <c r="A12" s="4">
        <f>IF(Demography!A11="","",Demography!A11)</f>
        <v>992</v>
      </c>
      <c r="B12" s="1">
        <v>1</v>
      </c>
      <c r="C12" s="1">
        <v>3</v>
      </c>
      <c r="D12" s="1">
        <v>1</v>
      </c>
      <c r="E12" s="1">
        <v>2</v>
      </c>
      <c r="F12" s="1">
        <v>1</v>
      </c>
      <c r="G12" s="1">
        <v>2</v>
      </c>
      <c r="H12" s="1">
        <v>2</v>
      </c>
      <c r="I12" s="1">
        <v>3</v>
      </c>
      <c r="J12" s="1">
        <v>3</v>
      </c>
      <c r="K12" s="1">
        <v>2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2</v>
      </c>
      <c r="Z12" s="1">
        <v>2</v>
      </c>
      <c r="AA12" s="1">
        <v>1</v>
      </c>
      <c r="AB12" s="1">
        <v>1</v>
      </c>
      <c r="AC12" s="1">
        <v>1</v>
      </c>
      <c r="AD12" s="1">
        <v>2</v>
      </c>
      <c r="AE12" s="1">
        <v>2</v>
      </c>
      <c r="AF12" s="1">
        <v>2</v>
      </c>
      <c r="AG12" s="1">
        <v>1</v>
      </c>
      <c r="AH12" s="1">
        <v>3</v>
      </c>
      <c r="AI12" s="1">
        <v>2</v>
      </c>
      <c r="AJ12" s="1">
        <v>1</v>
      </c>
      <c r="AK12" s="121">
        <v>-3.94</v>
      </c>
      <c r="AL12" s="114">
        <v>0.64</v>
      </c>
      <c r="AM12" s="16">
        <v>-4.44</v>
      </c>
      <c r="AN12" s="16">
        <v>-1.93</v>
      </c>
      <c r="AO12" s="16">
        <v>-2.88</v>
      </c>
      <c r="AP12" s="16">
        <v>-0.88</v>
      </c>
      <c r="AQ12" s="16">
        <v>-1.21</v>
      </c>
      <c r="AR12" s="16">
        <v>0.76</v>
      </c>
      <c r="AS12" s="16">
        <v>1.51</v>
      </c>
      <c r="AT12" s="16">
        <v>-0.84</v>
      </c>
      <c r="AU12" s="16">
        <v>-2.63</v>
      </c>
      <c r="AV12" s="16">
        <v>-2.17</v>
      </c>
      <c r="AW12" s="16">
        <v>-3.05</v>
      </c>
      <c r="AX12" s="16">
        <v>-2.46</v>
      </c>
      <c r="AY12" s="16">
        <v>-2.37</v>
      </c>
      <c r="AZ12" s="16">
        <v>-2.23</v>
      </c>
      <c r="BA12" s="16">
        <v>-3.08</v>
      </c>
      <c r="BB12" s="16">
        <v>-1.14</v>
      </c>
      <c r="BC12" s="16">
        <v>-1.92</v>
      </c>
      <c r="BD12" s="16">
        <v>-1.52</v>
      </c>
      <c r="BE12" s="16">
        <v>-1.84</v>
      </c>
      <c r="BF12" s="16">
        <v>-2.28</v>
      </c>
      <c r="BG12" s="16">
        <v>-1.54</v>
      </c>
      <c r="BH12" s="16">
        <v>-1.1</v>
      </c>
      <c r="BI12" s="16">
        <v>-0.96</v>
      </c>
      <c r="BJ12" s="16">
        <v>-3.04</v>
      </c>
      <c r="BK12" s="16">
        <v>-2.36</v>
      </c>
      <c r="BL12" s="16">
        <v>-2.71</v>
      </c>
      <c r="BM12" s="16">
        <v>-1.19</v>
      </c>
      <c r="BN12" s="16">
        <v>-0.68</v>
      </c>
      <c r="BO12" s="16">
        <v>-0.21</v>
      </c>
      <c r="BP12" s="16">
        <v>-1.63</v>
      </c>
      <c r="BQ12" s="16">
        <v>0.01</v>
      </c>
      <c r="BR12" s="16">
        <v>-0.74</v>
      </c>
      <c r="BS12" s="16">
        <v>-2.28</v>
      </c>
      <c r="BT12" s="16">
        <v>-1.666571428571429</v>
      </c>
      <c r="BU12" s="16">
        <v>-0.7712172496346728</v>
      </c>
    </row>
    <row r="13" spans="1:73" ht="12.75">
      <c r="A13" s="4">
        <f>IF(Demography!A12="","",Demography!A12)</f>
        <v>1163</v>
      </c>
      <c r="B13" s="1">
        <v>1</v>
      </c>
      <c r="C13" s="1">
        <v>3</v>
      </c>
      <c r="D13" s="1">
        <v>1</v>
      </c>
      <c r="E13" s="1" t="s">
        <v>34</v>
      </c>
      <c r="F13" s="1">
        <v>1</v>
      </c>
      <c r="G13" s="1">
        <v>3</v>
      </c>
      <c r="H13" s="1">
        <v>3</v>
      </c>
      <c r="I13" s="1">
        <v>3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2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3</v>
      </c>
      <c r="Z13" s="1">
        <v>3</v>
      </c>
      <c r="AA13" s="1">
        <v>3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3</v>
      </c>
      <c r="AH13" s="1">
        <v>2</v>
      </c>
      <c r="AI13" s="1">
        <v>1</v>
      </c>
      <c r="AJ13" s="1">
        <v>2</v>
      </c>
      <c r="AK13" s="121">
        <v>-3.94</v>
      </c>
      <c r="AL13" s="114">
        <v>0.64</v>
      </c>
      <c r="AM13" s="16">
        <v>-4.44</v>
      </c>
      <c r="AN13" s="16" t="s">
        <v>34</v>
      </c>
      <c r="AO13" s="16">
        <v>-2.88</v>
      </c>
      <c r="AP13" s="16">
        <v>0.05</v>
      </c>
      <c r="AQ13" s="16">
        <v>-0.28</v>
      </c>
      <c r="AR13" s="16">
        <v>0.76</v>
      </c>
      <c r="AS13" s="16">
        <v>-0.84</v>
      </c>
      <c r="AT13" s="16">
        <v>-2.26</v>
      </c>
      <c r="AU13" s="16">
        <v>-2.63</v>
      </c>
      <c r="AV13" s="16">
        <v>-2.17</v>
      </c>
      <c r="AW13" s="16">
        <v>-3.05</v>
      </c>
      <c r="AX13" s="16">
        <v>-2.46</v>
      </c>
      <c r="AY13" s="16">
        <v>-2.37</v>
      </c>
      <c r="AZ13" s="16">
        <v>-2.23</v>
      </c>
      <c r="BA13" s="16">
        <v>-1.66</v>
      </c>
      <c r="BB13" s="16">
        <v>-1.14</v>
      </c>
      <c r="BC13" s="16">
        <v>-1.92</v>
      </c>
      <c r="BD13" s="16">
        <v>-1.52</v>
      </c>
      <c r="BE13" s="16">
        <v>-1.84</v>
      </c>
      <c r="BF13" s="16">
        <v>-2.28</v>
      </c>
      <c r="BG13" s="16">
        <v>-1.54</v>
      </c>
      <c r="BH13" s="16">
        <v>-0.17</v>
      </c>
      <c r="BI13" s="16">
        <v>-0.03</v>
      </c>
      <c r="BJ13" s="16">
        <v>-0.69</v>
      </c>
      <c r="BK13" s="16">
        <v>-0.94</v>
      </c>
      <c r="BL13" s="16">
        <v>-1.29</v>
      </c>
      <c r="BM13" s="16">
        <v>-1.19</v>
      </c>
      <c r="BN13" s="16">
        <v>-0.68</v>
      </c>
      <c r="BO13" s="16">
        <v>-0.21</v>
      </c>
      <c r="BP13" s="16">
        <v>0.72</v>
      </c>
      <c r="BQ13" s="16">
        <v>-0.92</v>
      </c>
      <c r="BR13" s="16">
        <v>-2.16</v>
      </c>
      <c r="BS13" s="16">
        <v>-0.86</v>
      </c>
      <c r="BT13" s="16">
        <v>-1.4241176470588235</v>
      </c>
      <c r="BU13" s="16">
        <v>-0.6103483055146903</v>
      </c>
    </row>
    <row r="14" spans="1:73" ht="12.75">
      <c r="A14" s="4">
        <f>IF(Demography!A13="","",Demography!A13)</f>
        <v>1190</v>
      </c>
      <c r="B14" s="1">
        <v>2</v>
      </c>
      <c r="C14" s="1">
        <v>5</v>
      </c>
      <c r="D14" s="1">
        <v>1</v>
      </c>
      <c r="E14" s="1">
        <v>1</v>
      </c>
      <c r="F14" s="1" t="s">
        <v>34</v>
      </c>
      <c r="G14" s="1">
        <v>5</v>
      </c>
      <c r="H14" s="1">
        <v>4</v>
      </c>
      <c r="I14" s="1">
        <v>5</v>
      </c>
      <c r="J14" s="1" t="s">
        <v>34</v>
      </c>
      <c r="K14" s="1" t="s">
        <v>34</v>
      </c>
      <c r="L14" s="1">
        <v>2</v>
      </c>
      <c r="M14" s="1">
        <v>4</v>
      </c>
      <c r="N14" s="1">
        <v>4</v>
      </c>
      <c r="O14" s="1">
        <v>4</v>
      </c>
      <c r="P14" s="1">
        <v>4</v>
      </c>
      <c r="Q14" s="1">
        <v>3</v>
      </c>
      <c r="R14" s="1">
        <v>3</v>
      </c>
      <c r="S14" s="1" t="s">
        <v>34</v>
      </c>
      <c r="T14" s="1">
        <v>3</v>
      </c>
      <c r="U14" s="1">
        <v>1</v>
      </c>
      <c r="V14" s="1" t="s">
        <v>34</v>
      </c>
      <c r="W14" s="1" t="s">
        <v>34</v>
      </c>
      <c r="X14" s="1">
        <v>3</v>
      </c>
      <c r="Y14" s="1">
        <v>4</v>
      </c>
      <c r="Z14" s="1">
        <v>5</v>
      </c>
      <c r="AA14" s="1">
        <v>4</v>
      </c>
      <c r="AB14" s="1">
        <v>4</v>
      </c>
      <c r="AC14" s="1">
        <v>4</v>
      </c>
      <c r="AD14" s="1">
        <v>5</v>
      </c>
      <c r="AE14" s="1">
        <v>5</v>
      </c>
      <c r="AF14" s="1">
        <v>5</v>
      </c>
      <c r="AG14" s="1">
        <v>3</v>
      </c>
      <c r="AH14" s="1">
        <v>5</v>
      </c>
      <c r="AI14" s="1">
        <v>4</v>
      </c>
      <c r="AJ14" s="1">
        <v>4</v>
      </c>
      <c r="AK14" s="121">
        <v>-2.52</v>
      </c>
      <c r="AL14" s="114">
        <v>2.94</v>
      </c>
      <c r="AM14" s="16">
        <v>-4.44</v>
      </c>
      <c r="AN14" s="16">
        <v>-3.35</v>
      </c>
      <c r="AO14" s="16" t="s">
        <v>34</v>
      </c>
      <c r="AP14" s="16">
        <v>2.35</v>
      </c>
      <c r="AQ14" s="16">
        <v>0.64</v>
      </c>
      <c r="AR14" s="16">
        <v>3.06</v>
      </c>
      <c r="AS14" s="16" t="s">
        <v>34</v>
      </c>
      <c r="AT14" s="16" t="s">
        <v>34</v>
      </c>
      <c r="AU14" s="16">
        <v>-1.21</v>
      </c>
      <c r="AV14" s="16">
        <v>1.1</v>
      </c>
      <c r="AW14" s="16">
        <v>0.22</v>
      </c>
      <c r="AX14" s="16">
        <v>0.81</v>
      </c>
      <c r="AY14" s="16">
        <v>0.9</v>
      </c>
      <c r="AZ14" s="16">
        <v>0.12</v>
      </c>
      <c r="BA14" s="16">
        <v>-0.73</v>
      </c>
      <c r="BB14" s="16" t="s">
        <v>34</v>
      </c>
      <c r="BC14" s="16">
        <v>0.43</v>
      </c>
      <c r="BD14" s="16">
        <v>-1.52</v>
      </c>
      <c r="BE14" s="16" t="s">
        <v>34</v>
      </c>
      <c r="BF14" s="16" t="s">
        <v>34</v>
      </c>
      <c r="BG14" s="16">
        <v>0.81</v>
      </c>
      <c r="BH14" s="16">
        <v>0.75</v>
      </c>
      <c r="BI14" s="16">
        <v>2.27</v>
      </c>
      <c r="BJ14" s="16">
        <v>0.23</v>
      </c>
      <c r="BK14" s="16">
        <v>0.91</v>
      </c>
      <c r="BL14" s="16">
        <v>0.56</v>
      </c>
      <c r="BM14" s="16">
        <v>2.04</v>
      </c>
      <c r="BN14" s="16">
        <v>2.55</v>
      </c>
      <c r="BO14" s="16">
        <v>3.02</v>
      </c>
      <c r="BP14" s="16">
        <v>0.72</v>
      </c>
      <c r="BQ14" s="16">
        <v>2.31</v>
      </c>
      <c r="BR14" s="16">
        <v>1.11</v>
      </c>
      <c r="BS14" s="16">
        <v>0.99</v>
      </c>
      <c r="BT14" s="16">
        <v>0.5886206896551724</v>
      </c>
      <c r="BU14" s="16">
        <v>0.23078654741039786</v>
      </c>
    </row>
    <row r="15" spans="1:73" ht="12.75">
      <c r="A15" s="4">
        <f>IF(Demography!A14="","",Demography!A14)</f>
        <v>1231</v>
      </c>
      <c r="B15" s="1">
        <v>2</v>
      </c>
      <c r="C15" s="1">
        <v>3</v>
      </c>
      <c r="D15" s="1">
        <v>3</v>
      </c>
      <c r="E15" s="1">
        <v>3</v>
      </c>
      <c r="F15" s="1">
        <v>1</v>
      </c>
      <c r="G15" s="1">
        <v>3</v>
      </c>
      <c r="H15" s="1">
        <v>1</v>
      </c>
      <c r="I15" s="1">
        <v>2</v>
      </c>
      <c r="J15" s="1">
        <v>1</v>
      </c>
      <c r="K15" s="1">
        <v>2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2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2</v>
      </c>
      <c r="Y15" s="1">
        <v>3</v>
      </c>
      <c r="Z15" s="1">
        <v>3</v>
      </c>
      <c r="AA15" s="1">
        <v>3</v>
      </c>
      <c r="AB15" s="1">
        <v>1</v>
      </c>
      <c r="AC15" s="1">
        <v>3</v>
      </c>
      <c r="AD15" s="1">
        <v>1</v>
      </c>
      <c r="AE15" s="1">
        <v>3</v>
      </c>
      <c r="AF15" s="1">
        <v>3</v>
      </c>
      <c r="AG15" s="1">
        <v>3</v>
      </c>
      <c r="AH15" s="1">
        <v>2</v>
      </c>
      <c r="AI15" s="1">
        <v>2</v>
      </c>
      <c r="AJ15" s="1">
        <v>2</v>
      </c>
      <c r="AK15" s="121">
        <v>-2.52</v>
      </c>
      <c r="AL15" s="114">
        <v>0.64</v>
      </c>
      <c r="AM15" s="16">
        <v>-2.09</v>
      </c>
      <c r="AN15" s="16">
        <v>-1</v>
      </c>
      <c r="AO15" s="16">
        <v>-2.88</v>
      </c>
      <c r="AP15" s="16">
        <v>0.05</v>
      </c>
      <c r="AQ15" s="16">
        <v>-2.63</v>
      </c>
      <c r="AR15" s="16">
        <v>-0.17</v>
      </c>
      <c r="AS15" s="16">
        <v>-0.84</v>
      </c>
      <c r="AT15" s="16">
        <v>-0.84</v>
      </c>
      <c r="AU15" s="16">
        <v>-2.63</v>
      </c>
      <c r="AV15" s="16">
        <v>-2.17</v>
      </c>
      <c r="AW15" s="16">
        <v>-3.05</v>
      </c>
      <c r="AX15" s="16">
        <v>-2.46</v>
      </c>
      <c r="AY15" s="16">
        <v>-2.37</v>
      </c>
      <c r="AZ15" s="16">
        <v>-2.23</v>
      </c>
      <c r="BA15" s="16">
        <v>-1.66</v>
      </c>
      <c r="BB15" s="16">
        <v>-1.14</v>
      </c>
      <c r="BC15" s="16">
        <v>-1.92</v>
      </c>
      <c r="BD15" s="16">
        <v>-1.52</v>
      </c>
      <c r="BE15" s="16">
        <v>-1.84</v>
      </c>
      <c r="BF15" s="16">
        <v>-2.28</v>
      </c>
      <c r="BG15" s="16">
        <v>-0.12</v>
      </c>
      <c r="BH15" s="16">
        <v>-0.17</v>
      </c>
      <c r="BI15" s="16">
        <v>-0.03</v>
      </c>
      <c r="BJ15" s="16">
        <v>-0.69</v>
      </c>
      <c r="BK15" s="16">
        <v>-2.36</v>
      </c>
      <c r="BL15" s="16">
        <v>-0.36</v>
      </c>
      <c r="BM15" s="16">
        <v>-2.61</v>
      </c>
      <c r="BN15" s="16">
        <v>0.25</v>
      </c>
      <c r="BO15" s="16">
        <v>0.72</v>
      </c>
      <c r="BP15" s="16">
        <v>0.72</v>
      </c>
      <c r="BQ15" s="16">
        <v>-0.92</v>
      </c>
      <c r="BR15" s="16">
        <v>-0.74</v>
      </c>
      <c r="BS15" s="16">
        <v>-0.86</v>
      </c>
      <c r="BT15" s="16">
        <v>-1.277714285714286</v>
      </c>
      <c r="BU15" s="16">
        <v>-0.528576508816442</v>
      </c>
    </row>
    <row r="16" spans="1:73" ht="12.75">
      <c r="A16" s="315">
        <f>IF(Demography!A15="","",Demography!A15)</f>
        <v>1235</v>
      </c>
      <c r="B16" s="1">
        <v>1</v>
      </c>
      <c r="C16" s="1">
        <v>2</v>
      </c>
      <c r="D16" s="1">
        <v>1</v>
      </c>
      <c r="E16" s="1" t="s">
        <v>34</v>
      </c>
      <c r="F16" s="1" t="s">
        <v>34</v>
      </c>
      <c r="G16" s="1">
        <v>2</v>
      </c>
      <c r="H16" s="1">
        <v>2</v>
      </c>
      <c r="I16" s="1">
        <v>2</v>
      </c>
      <c r="J16" s="1">
        <v>2</v>
      </c>
      <c r="K16" s="1" t="s">
        <v>34</v>
      </c>
      <c r="L16" s="1">
        <v>1</v>
      </c>
      <c r="M16" s="1">
        <v>1</v>
      </c>
      <c r="N16" s="1">
        <v>2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2</v>
      </c>
      <c r="U16" s="1">
        <v>1</v>
      </c>
      <c r="V16" s="1">
        <v>1</v>
      </c>
      <c r="W16" s="1">
        <v>2</v>
      </c>
      <c r="X16" s="1">
        <v>1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1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21">
        <v>-3.94</v>
      </c>
      <c r="AL16" s="114">
        <v>-0.29</v>
      </c>
      <c r="AM16" s="16">
        <v>-4.44</v>
      </c>
      <c r="AN16" s="16" t="s">
        <v>34</v>
      </c>
      <c r="AO16" s="16" t="s">
        <v>34</v>
      </c>
      <c r="AP16" s="16">
        <v>-0.88</v>
      </c>
      <c r="AQ16" s="16">
        <v>-1.21</v>
      </c>
      <c r="AR16" s="16">
        <v>-0.17</v>
      </c>
      <c r="AS16" s="16">
        <v>0.58</v>
      </c>
      <c r="AT16" s="16" t="s">
        <v>34</v>
      </c>
      <c r="AU16" s="16">
        <v>-2.63</v>
      </c>
      <c r="AV16" s="16">
        <v>-2.17</v>
      </c>
      <c r="AW16" s="16">
        <v>-1.63</v>
      </c>
      <c r="AX16" s="16">
        <v>-2.46</v>
      </c>
      <c r="AY16" s="16">
        <v>-2.37</v>
      </c>
      <c r="AZ16" s="16">
        <v>-2.23</v>
      </c>
      <c r="BA16" s="16">
        <v>-3.08</v>
      </c>
      <c r="BB16" s="16">
        <v>-1.14</v>
      </c>
      <c r="BC16" s="16">
        <v>-0.5</v>
      </c>
      <c r="BD16" s="16">
        <v>-1.52</v>
      </c>
      <c r="BE16" s="16">
        <v>-1.84</v>
      </c>
      <c r="BF16" s="16">
        <v>-0.86</v>
      </c>
      <c r="BG16" s="16">
        <v>-1.54</v>
      </c>
      <c r="BH16" s="16">
        <v>-1.1</v>
      </c>
      <c r="BI16" s="16">
        <v>-0.96</v>
      </c>
      <c r="BJ16" s="16">
        <v>-1.62</v>
      </c>
      <c r="BK16" s="16">
        <v>-0.94</v>
      </c>
      <c r="BL16" s="16">
        <v>-1.29</v>
      </c>
      <c r="BM16" s="16">
        <v>-2.61</v>
      </c>
      <c r="BN16" s="16">
        <v>-0.68</v>
      </c>
      <c r="BO16" s="16">
        <v>-0.21</v>
      </c>
      <c r="BP16" s="16">
        <v>-0.21</v>
      </c>
      <c r="BQ16" s="16">
        <v>-0.92</v>
      </c>
      <c r="BR16" s="16">
        <v>-0.74</v>
      </c>
      <c r="BS16" s="16">
        <v>-0.86</v>
      </c>
      <c r="BT16" s="16">
        <v>-1.451875</v>
      </c>
      <c r="BU16" s="16">
        <v>-0.6269302653973202</v>
      </c>
    </row>
    <row r="17" spans="1:73" ht="12.75">
      <c r="A17" s="4">
        <f>IF(Demography!A16="","",Demography!A16)</f>
        <v>1249</v>
      </c>
      <c r="B17" s="1">
        <v>1</v>
      </c>
      <c r="C17" s="1">
        <v>4</v>
      </c>
      <c r="D17" s="1">
        <v>1</v>
      </c>
      <c r="E17" s="1" t="s">
        <v>34</v>
      </c>
      <c r="F17" s="1" t="s">
        <v>34</v>
      </c>
      <c r="G17" s="1">
        <v>1</v>
      </c>
      <c r="H17" s="1">
        <v>2</v>
      </c>
      <c r="I17" s="1">
        <v>3</v>
      </c>
      <c r="J17" s="1">
        <v>1</v>
      </c>
      <c r="K17" s="1" t="s">
        <v>34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2</v>
      </c>
      <c r="Z17" s="1">
        <v>2</v>
      </c>
      <c r="AA17" s="1">
        <v>2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2</v>
      </c>
      <c r="AH17" s="1">
        <v>2</v>
      </c>
      <c r="AI17" s="1">
        <v>2</v>
      </c>
      <c r="AJ17" s="1">
        <v>1</v>
      </c>
      <c r="AK17" s="121">
        <v>-3.94</v>
      </c>
      <c r="AL17" s="114">
        <v>1.56</v>
      </c>
      <c r="AM17" s="16">
        <v>-4.44</v>
      </c>
      <c r="AN17" s="16" t="s">
        <v>34</v>
      </c>
      <c r="AO17" s="16" t="s">
        <v>34</v>
      </c>
      <c r="AP17" s="16">
        <v>-2.3</v>
      </c>
      <c r="AQ17" s="16">
        <v>-1.21</v>
      </c>
      <c r="AR17" s="16">
        <v>0.76</v>
      </c>
      <c r="AS17" s="16">
        <v>-0.84</v>
      </c>
      <c r="AT17" s="16" t="s">
        <v>34</v>
      </c>
      <c r="AU17" s="16">
        <v>-2.63</v>
      </c>
      <c r="AV17" s="16">
        <v>-2.17</v>
      </c>
      <c r="AW17" s="16">
        <v>-3.05</v>
      </c>
      <c r="AX17" s="16">
        <v>-2.46</v>
      </c>
      <c r="AY17" s="16">
        <v>-2.37</v>
      </c>
      <c r="AZ17" s="16">
        <v>-2.23</v>
      </c>
      <c r="BA17" s="16">
        <v>-3.08</v>
      </c>
      <c r="BB17" s="16">
        <v>-1.14</v>
      </c>
      <c r="BC17" s="16">
        <v>-1.92</v>
      </c>
      <c r="BD17" s="16">
        <v>-1.52</v>
      </c>
      <c r="BE17" s="16">
        <v>-1.84</v>
      </c>
      <c r="BF17" s="16">
        <v>-2.28</v>
      </c>
      <c r="BG17" s="16">
        <v>-1.54</v>
      </c>
      <c r="BH17" s="16">
        <v>-1.1</v>
      </c>
      <c r="BI17" s="16">
        <v>-0.96</v>
      </c>
      <c r="BJ17" s="16">
        <v>-1.62</v>
      </c>
      <c r="BK17" s="16">
        <v>-2.36</v>
      </c>
      <c r="BL17" s="16">
        <v>-2.71</v>
      </c>
      <c r="BM17" s="16">
        <v>-2.61</v>
      </c>
      <c r="BN17" s="16">
        <v>-2.1</v>
      </c>
      <c r="BO17" s="16">
        <v>-1.63</v>
      </c>
      <c r="BP17" s="16">
        <v>-0.21</v>
      </c>
      <c r="BQ17" s="16">
        <v>-0.92</v>
      </c>
      <c r="BR17" s="16">
        <v>-0.74</v>
      </c>
      <c r="BS17" s="16">
        <v>-2.28</v>
      </c>
      <c r="BT17" s="16">
        <v>-1.80875</v>
      </c>
      <c r="BU17" s="16">
        <v>-0.8894664888797178</v>
      </c>
    </row>
    <row r="18" spans="1:73" ht="12.75">
      <c r="A18" s="4">
        <f>IF(Demography!A17="","",Demography!A17)</f>
        <v>1308</v>
      </c>
      <c r="B18" s="1">
        <v>3</v>
      </c>
      <c r="C18" s="1">
        <v>4</v>
      </c>
      <c r="D18" s="1">
        <v>2</v>
      </c>
      <c r="E18" s="1" t="s">
        <v>34</v>
      </c>
      <c r="F18" s="1" t="s">
        <v>34</v>
      </c>
      <c r="G18" s="1">
        <v>4</v>
      </c>
      <c r="H18" s="1">
        <v>4</v>
      </c>
      <c r="I18" s="1">
        <v>5</v>
      </c>
      <c r="J18" s="1">
        <v>5</v>
      </c>
      <c r="K18" s="1">
        <v>4</v>
      </c>
      <c r="L18" s="1">
        <v>2</v>
      </c>
      <c r="M18" s="1">
        <v>2</v>
      </c>
      <c r="N18" s="1">
        <v>1</v>
      </c>
      <c r="O18" s="1">
        <v>1</v>
      </c>
      <c r="P18" s="1">
        <v>2</v>
      </c>
      <c r="Q18" s="1">
        <v>2</v>
      </c>
      <c r="R18" s="1">
        <v>1</v>
      </c>
      <c r="S18" s="1">
        <v>2</v>
      </c>
      <c r="T18" s="1">
        <v>1</v>
      </c>
      <c r="U18" s="1">
        <v>1</v>
      </c>
      <c r="V18" s="1">
        <v>2</v>
      </c>
      <c r="W18" s="1">
        <v>2</v>
      </c>
      <c r="X18" s="1">
        <v>2</v>
      </c>
      <c r="Y18" s="1">
        <v>2</v>
      </c>
      <c r="Z18" s="1">
        <v>4</v>
      </c>
      <c r="AA18" s="1">
        <v>3</v>
      </c>
      <c r="AB18" s="1">
        <v>3</v>
      </c>
      <c r="AC18" s="1">
        <v>3</v>
      </c>
      <c r="AD18" s="1">
        <v>4</v>
      </c>
      <c r="AE18" s="1">
        <v>4</v>
      </c>
      <c r="AF18" s="1">
        <v>4</v>
      </c>
      <c r="AG18" s="1">
        <v>2</v>
      </c>
      <c r="AH18" s="1">
        <v>2</v>
      </c>
      <c r="AI18" s="1">
        <v>2</v>
      </c>
      <c r="AJ18" s="1">
        <v>3</v>
      </c>
      <c r="AK18" s="121">
        <v>-1.59</v>
      </c>
      <c r="AL18" s="114">
        <v>1.56</v>
      </c>
      <c r="AM18" s="16">
        <v>-3.02</v>
      </c>
      <c r="AN18" s="16" t="s">
        <v>34</v>
      </c>
      <c r="AO18" s="16" t="s">
        <v>34</v>
      </c>
      <c r="AP18" s="16">
        <v>0.97</v>
      </c>
      <c r="AQ18" s="16">
        <v>0.64</v>
      </c>
      <c r="AR18" s="16">
        <v>3.06</v>
      </c>
      <c r="AS18" s="16">
        <v>3.81</v>
      </c>
      <c r="AT18" s="16">
        <v>1.01</v>
      </c>
      <c r="AU18" s="16">
        <v>-1.21</v>
      </c>
      <c r="AV18" s="16">
        <v>-0.75</v>
      </c>
      <c r="AW18" s="16">
        <v>-3.05</v>
      </c>
      <c r="AX18" s="16">
        <v>-2.46</v>
      </c>
      <c r="AY18" s="16">
        <v>-0.95</v>
      </c>
      <c r="AZ18" s="16">
        <v>-0.81</v>
      </c>
      <c r="BA18" s="16">
        <v>-3.08</v>
      </c>
      <c r="BB18" s="16">
        <v>0.28</v>
      </c>
      <c r="BC18" s="16">
        <v>-1.92</v>
      </c>
      <c r="BD18" s="16">
        <v>-1.52</v>
      </c>
      <c r="BE18" s="16">
        <v>-0.42</v>
      </c>
      <c r="BF18" s="16">
        <v>-0.86</v>
      </c>
      <c r="BG18" s="16">
        <v>-0.12</v>
      </c>
      <c r="BH18" s="16">
        <v>-1.1</v>
      </c>
      <c r="BI18" s="16">
        <v>0.89</v>
      </c>
      <c r="BJ18" s="16">
        <v>-0.69</v>
      </c>
      <c r="BK18" s="16">
        <v>-0.01</v>
      </c>
      <c r="BL18" s="16">
        <v>-0.36</v>
      </c>
      <c r="BM18" s="16">
        <v>0.66</v>
      </c>
      <c r="BN18" s="16">
        <v>1.17</v>
      </c>
      <c r="BO18" s="16">
        <v>1.64</v>
      </c>
      <c r="BP18" s="16">
        <v>-0.21</v>
      </c>
      <c r="BQ18" s="16">
        <v>-0.92</v>
      </c>
      <c r="BR18" s="16">
        <v>-0.74</v>
      </c>
      <c r="BS18" s="16">
        <v>0.07</v>
      </c>
      <c r="BT18" s="16">
        <v>-0.3039393939393938</v>
      </c>
      <c r="BU18" s="16">
        <v>-0.1085048127201979</v>
      </c>
    </row>
    <row r="19" spans="1:73" ht="12.75">
      <c r="A19" s="4">
        <f>IF(Demography!A18="","",Demography!A18)</f>
        <v>1287</v>
      </c>
      <c r="B19" s="1">
        <v>1</v>
      </c>
      <c r="C19" s="1">
        <v>4</v>
      </c>
      <c r="D19" s="1">
        <v>1</v>
      </c>
      <c r="E19" s="1" t="s">
        <v>34</v>
      </c>
      <c r="F19" s="1" t="s">
        <v>34</v>
      </c>
      <c r="G19" s="1">
        <v>2</v>
      </c>
      <c r="H19" s="1">
        <v>2</v>
      </c>
      <c r="I19" s="1">
        <v>4</v>
      </c>
      <c r="J19" s="1">
        <v>5</v>
      </c>
      <c r="K19" s="1" t="s">
        <v>34</v>
      </c>
      <c r="L19" s="1">
        <v>2</v>
      </c>
      <c r="M19" s="1">
        <v>5</v>
      </c>
      <c r="N19" s="1">
        <v>1</v>
      </c>
      <c r="O19" s="1">
        <v>4</v>
      </c>
      <c r="P19" s="1">
        <v>1</v>
      </c>
      <c r="Q19" s="1">
        <v>4</v>
      </c>
      <c r="R19" s="1">
        <v>1</v>
      </c>
      <c r="S19" s="1">
        <v>5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5</v>
      </c>
      <c r="Z19" s="1">
        <v>1</v>
      </c>
      <c r="AA19" s="1">
        <v>2</v>
      </c>
      <c r="AB19" s="1">
        <v>1</v>
      </c>
      <c r="AC19" s="1">
        <v>1</v>
      </c>
      <c r="AD19" s="1">
        <v>1</v>
      </c>
      <c r="AE19" s="1">
        <v>2</v>
      </c>
      <c r="AF19" s="1">
        <v>3</v>
      </c>
      <c r="AG19" s="1">
        <v>2</v>
      </c>
      <c r="AH19" s="1">
        <v>2</v>
      </c>
      <c r="AI19" s="1">
        <v>1</v>
      </c>
      <c r="AJ19" s="1">
        <v>1</v>
      </c>
      <c r="AK19" s="121">
        <v>-3.94</v>
      </c>
      <c r="AL19" s="114">
        <v>1.56</v>
      </c>
      <c r="AM19" s="16">
        <v>-4.44</v>
      </c>
      <c r="AN19" s="16" t="s">
        <v>34</v>
      </c>
      <c r="AO19" s="16" t="s">
        <v>34</v>
      </c>
      <c r="AP19" s="16">
        <v>-0.88</v>
      </c>
      <c r="AQ19" s="16">
        <v>-1.21</v>
      </c>
      <c r="AR19" s="16">
        <v>1.68</v>
      </c>
      <c r="AS19" s="16">
        <v>3.81</v>
      </c>
      <c r="AT19" s="16" t="s">
        <v>34</v>
      </c>
      <c r="AU19" s="16">
        <v>-1.21</v>
      </c>
      <c r="AV19" s="16">
        <v>2.48</v>
      </c>
      <c r="AW19" s="16">
        <v>-3.05</v>
      </c>
      <c r="AX19" s="16">
        <v>0.81</v>
      </c>
      <c r="AY19" s="16">
        <v>-2.37</v>
      </c>
      <c r="AZ19" s="16">
        <v>1.04</v>
      </c>
      <c r="BA19" s="16">
        <v>-3.08</v>
      </c>
      <c r="BB19" s="16">
        <v>3.51</v>
      </c>
      <c r="BC19" s="16">
        <v>-0.5</v>
      </c>
      <c r="BD19" s="16">
        <v>-0.1</v>
      </c>
      <c r="BE19" s="16">
        <v>-0.42</v>
      </c>
      <c r="BF19" s="16">
        <v>-0.86</v>
      </c>
      <c r="BG19" s="16">
        <v>-0.12</v>
      </c>
      <c r="BH19" s="16">
        <v>2.13</v>
      </c>
      <c r="BI19" s="16">
        <v>-2.38</v>
      </c>
      <c r="BJ19" s="16">
        <v>-1.62</v>
      </c>
      <c r="BK19" s="16">
        <v>-2.36</v>
      </c>
      <c r="BL19" s="16">
        <v>-2.71</v>
      </c>
      <c r="BM19" s="16">
        <v>-2.61</v>
      </c>
      <c r="BN19" s="16">
        <v>-0.68</v>
      </c>
      <c r="BO19" s="16">
        <v>0.72</v>
      </c>
      <c r="BP19" s="16">
        <v>-0.21</v>
      </c>
      <c r="BQ19" s="16">
        <v>-0.92</v>
      </c>
      <c r="BR19" s="16">
        <v>-2.16</v>
      </c>
      <c r="BS19" s="16">
        <v>-2.28</v>
      </c>
      <c r="BT19" s="16">
        <v>-0.6990625</v>
      </c>
      <c r="BU19" s="16">
        <v>-0.2633391684187338</v>
      </c>
    </row>
    <row r="20" spans="1:73" ht="12.75">
      <c r="A20" s="4">
        <f>IF(Demography!A19="","",Demography!A19)</f>
        <v>1467</v>
      </c>
      <c r="B20" s="1">
        <v>1</v>
      </c>
      <c r="C20" s="1">
        <v>4</v>
      </c>
      <c r="D20" s="1">
        <v>1</v>
      </c>
      <c r="E20" s="1" t="s">
        <v>34</v>
      </c>
      <c r="F20" s="1" t="s">
        <v>34</v>
      </c>
      <c r="G20" s="1">
        <v>1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  <c r="M20" s="1">
        <v>5</v>
      </c>
      <c r="N20" s="1">
        <v>4</v>
      </c>
      <c r="O20" s="1">
        <v>5</v>
      </c>
      <c r="P20" s="1">
        <v>5</v>
      </c>
      <c r="Q20" s="1">
        <v>5</v>
      </c>
      <c r="R20" s="1" t="s">
        <v>34</v>
      </c>
      <c r="S20" s="1" t="s">
        <v>34</v>
      </c>
      <c r="T20" s="1" t="s">
        <v>34</v>
      </c>
      <c r="U20" s="1" t="s">
        <v>34</v>
      </c>
      <c r="V20" s="1" t="s">
        <v>34</v>
      </c>
      <c r="W20" s="1" t="s">
        <v>34</v>
      </c>
      <c r="X20" s="1">
        <v>5</v>
      </c>
      <c r="Y20" s="1">
        <v>5</v>
      </c>
      <c r="Z20" s="1">
        <v>5</v>
      </c>
      <c r="AA20" s="1">
        <v>5</v>
      </c>
      <c r="AB20" s="1">
        <v>5</v>
      </c>
      <c r="AC20" s="1">
        <v>5</v>
      </c>
      <c r="AD20" s="1">
        <v>5</v>
      </c>
      <c r="AE20" s="1">
        <v>5</v>
      </c>
      <c r="AF20" s="1">
        <v>5</v>
      </c>
      <c r="AG20" s="1">
        <v>5</v>
      </c>
      <c r="AH20" s="1">
        <v>5</v>
      </c>
      <c r="AI20" s="1">
        <v>5</v>
      </c>
      <c r="AJ20" s="1">
        <v>5</v>
      </c>
      <c r="AK20" s="121">
        <v>-3.94</v>
      </c>
      <c r="AL20" s="114">
        <v>1.56</v>
      </c>
      <c r="AM20" s="16">
        <v>-4.44</v>
      </c>
      <c r="AN20" s="16" t="s">
        <v>34</v>
      </c>
      <c r="AO20" s="16" t="s">
        <v>34</v>
      </c>
      <c r="AP20" s="16">
        <v>-2.3</v>
      </c>
      <c r="AQ20" s="16">
        <v>2.02</v>
      </c>
      <c r="AR20" s="16">
        <v>3.06</v>
      </c>
      <c r="AS20" s="16">
        <v>3.81</v>
      </c>
      <c r="AT20" s="16">
        <v>2.39</v>
      </c>
      <c r="AU20" s="16">
        <v>2.02</v>
      </c>
      <c r="AV20" s="16">
        <v>2.48</v>
      </c>
      <c r="AW20" s="16">
        <v>0.22</v>
      </c>
      <c r="AX20" s="16">
        <v>2.19</v>
      </c>
      <c r="AY20" s="16">
        <v>2.28</v>
      </c>
      <c r="AZ20" s="16">
        <v>2.42</v>
      </c>
      <c r="BA20" s="16" t="s">
        <v>34</v>
      </c>
      <c r="BB20" s="16" t="s">
        <v>34</v>
      </c>
      <c r="BC20" s="16" t="s">
        <v>34</v>
      </c>
      <c r="BD20" s="16" t="s">
        <v>34</v>
      </c>
      <c r="BE20" s="16" t="s">
        <v>34</v>
      </c>
      <c r="BF20" s="16" t="s">
        <v>34</v>
      </c>
      <c r="BG20" s="16">
        <v>3.11</v>
      </c>
      <c r="BH20" s="16">
        <v>2.13</v>
      </c>
      <c r="BI20" s="16">
        <v>2.27</v>
      </c>
      <c r="BJ20" s="16">
        <v>1.61</v>
      </c>
      <c r="BK20" s="16">
        <v>2.29</v>
      </c>
      <c r="BL20" s="16">
        <v>1.94</v>
      </c>
      <c r="BM20" s="16">
        <v>2.04</v>
      </c>
      <c r="BN20" s="16">
        <v>2.55</v>
      </c>
      <c r="BO20" s="16">
        <v>3.02</v>
      </c>
      <c r="BP20" s="16">
        <v>3.02</v>
      </c>
      <c r="BQ20" s="16">
        <v>2.31</v>
      </c>
      <c r="BR20" s="16">
        <v>2.49</v>
      </c>
      <c r="BS20" s="16">
        <v>2.37</v>
      </c>
      <c r="BT20" s="16">
        <v>1.6637037037037041</v>
      </c>
      <c r="BU20" s="16">
        <v>0.7920302626581119</v>
      </c>
    </row>
    <row r="21" spans="1:73" ht="12.75">
      <c r="A21" s="4">
        <f>IF(Demography!A20="","",Demography!A20)</f>
        <v>1324</v>
      </c>
      <c r="B21" s="1">
        <v>1</v>
      </c>
      <c r="C21" s="1">
        <v>3</v>
      </c>
      <c r="D21" s="1">
        <v>1</v>
      </c>
      <c r="E21" s="1" t="s">
        <v>34</v>
      </c>
      <c r="F21" s="1" t="s">
        <v>34</v>
      </c>
      <c r="G21" s="1">
        <v>3</v>
      </c>
      <c r="H21" s="1">
        <v>2</v>
      </c>
      <c r="I21" s="1">
        <v>4</v>
      </c>
      <c r="J21" s="1">
        <v>3</v>
      </c>
      <c r="K21" s="1" t="s">
        <v>34</v>
      </c>
      <c r="L21" s="1">
        <v>2</v>
      </c>
      <c r="M21" s="1">
        <v>2</v>
      </c>
      <c r="N21" s="1">
        <v>1</v>
      </c>
      <c r="O21" s="1">
        <v>1</v>
      </c>
      <c r="P21" s="1">
        <v>1</v>
      </c>
      <c r="Q21" s="1">
        <v>2</v>
      </c>
      <c r="R21" s="1">
        <v>2</v>
      </c>
      <c r="S21" s="1">
        <v>3</v>
      </c>
      <c r="T21" s="1">
        <v>2</v>
      </c>
      <c r="U21" s="1">
        <v>2</v>
      </c>
      <c r="V21" s="1">
        <v>2</v>
      </c>
      <c r="W21" s="1">
        <v>2</v>
      </c>
      <c r="X21" s="1">
        <v>2</v>
      </c>
      <c r="Y21" s="1">
        <v>3</v>
      </c>
      <c r="Z21" s="1">
        <v>3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3</v>
      </c>
      <c r="AH21" s="1">
        <v>3</v>
      </c>
      <c r="AI21" s="1">
        <v>2</v>
      </c>
      <c r="AJ21" s="1">
        <v>2</v>
      </c>
      <c r="AK21" s="121">
        <v>-3.94</v>
      </c>
      <c r="AL21" s="114">
        <v>0.64</v>
      </c>
      <c r="AM21" s="16">
        <v>-4.44</v>
      </c>
      <c r="AN21" s="16" t="s">
        <v>34</v>
      </c>
      <c r="AO21" s="16" t="s">
        <v>34</v>
      </c>
      <c r="AP21" s="16">
        <v>0.05</v>
      </c>
      <c r="AQ21" s="16">
        <v>-1.21</v>
      </c>
      <c r="AR21" s="16">
        <v>1.68</v>
      </c>
      <c r="AS21" s="16">
        <v>1.51</v>
      </c>
      <c r="AT21" s="16" t="s">
        <v>34</v>
      </c>
      <c r="AU21" s="16">
        <v>-1.21</v>
      </c>
      <c r="AV21" s="16">
        <v>-0.75</v>
      </c>
      <c r="AW21" s="16">
        <v>-3.05</v>
      </c>
      <c r="AX21" s="16">
        <v>-2.46</v>
      </c>
      <c r="AY21" s="16">
        <v>-2.37</v>
      </c>
      <c r="AZ21" s="16">
        <v>-0.81</v>
      </c>
      <c r="BA21" s="16">
        <v>-1.66</v>
      </c>
      <c r="BB21" s="16">
        <v>1.21</v>
      </c>
      <c r="BC21" s="16">
        <v>-0.5</v>
      </c>
      <c r="BD21" s="16">
        <v>-0.1</v>
      </c>
      <c r="BE21" s="16">
        <v>-0.42</v>
      </c>
      <c r="BF21" s="16">
        <v>-0.86</v>
      </c>
      <c r="BG21" s="16">
        <v>-0.12</v>
      </c>
      <c r="BH21" s="16">
        <v>-0.17</v>
      </c>
      <c r="BI21" s="16">
        <v>-0.03</v>
      </c>
      <c r="BJ21" s="16">
        <v>-1.62</v>
      </c>
      <c r="BK21" s="16">
        <v>-0.94</v>
      </c>
      <c r="BL21" s="16">
        <v>-1.29</v>
      </c>
      <c r="BM21" s="16">
        <v>-1.19</v>
      </c>
      <c r="BN21" s="16">
        <v>-0.68</v>
      </c>
      <c r="BO21" s="16">
        <v>-0.21</v>
      </c>
      <c r="BP21" s="16">
        <v>0.72</v>
      </c>
      <c r="BQ21" s="16">
        <v>0.01</v>
      </c>
      <c r="BR21" s="16">
        <v>-0.74</v>
      </c>
      <c r="BS21" s="16">
        <v>-0.86</v>
      </c>
      <c r="BT21" s="16">
        <v>-0.8065625</v>
      </c>
      <c r="BU21" s="16">
        <v>-0.3080097610593706</v>
      </c>
    </row>
    <row r="22" spans="1:73" ht="12.75">
      <c r="A22" s="4">
        <f>IF(Demography!A21="","",Demography!A21)</f>
        <v>1565</v>
      </c>
      <c r="B22" s="1">
        <v>2</v>
      </c>
      <c r="C22" s="1">
        <v>2</v>
      </c>
      <c r="D22" s="1">
        <v>1</v>
      </c>
      <c r="E22" s="1" t="s">
        <v>34</v>
      </c>
      <c r="F22" s="1" t="s">
        <v>34</v>
      </c>
      <c r="G22" s="1">
        <v>3</v>
      </c>
      <c r="H22" s="1">
        <v>3</v>
      </c>
      <c r="I22" s="1">
        <v>2</v>
      </c>
      <c r="J22" s="1">
        <v>2</v>
      </c>
      <c r="K22" s="1" t="s">
        <v>34</v>
      </c>
      <c r="L22" s="1">
        <v>3</v>
      </c>
      <c r="M22" s="1">
        <v>2</v>
      </c>
      <c r="N22" s="1">
        <v>1</v>
      </c>
      <c r="O22" s="1">
        <v>1</v>
      </c>
      <c r="P22" s="1">
        <v>2</v>
      </c>
      <c r="Q22" s="1">
        <v>2</v>
      </c>
      <c r="R22" s="1">
        <v>2</v>
      </c>
      <c r="S22" s="1">
        <v>3</v>
      </c>
      <c r="T22" s="1">
        <v>2</v>
      </c>
      <c r="U22" s="1">
        <v>2</v>
      </c>
      <c r="V22" s="1">
        <v>3</v>
      </c>
      <c r="W22" s="1">
        <v>2</v>
      </c>
      <c r="X22" s="1">
        <v>3</v>
      </c>
      <c r="Y22" s="1">
        <v>2</v>
      </c>
      <c r="Z22" s="1">
        <v>2</v>
      </c>
      <c r="AA22" s="1">
        <v>2</v>
      </c>
      <c r="AB22" s="1">
        <v>3</v>
      </c>
      <c r="AC22" s="1">
        <v>1</v>
      </c>
      <c r="AD22" s="1">
        <v>1</v>
      </c>
      <c r="AE22" s="1">
        <v>1</v>
      </c>
      <c r="AF22" s="1">
        <v>3</v>
      </c>
      <c r="AG22" s="1">
        <v>4</v>
      </c>
      <c r="AH22" s="1">
        <v>1</v>
      </c>
      <c r="AI22" s="1">
        <v>1</v>
      </c>
      <c r="AJ22" s="1">
        <v>1</v>
      </c>
      <c r="AK22" s="121">
        <v>-2.52</v>
      </c>
      <c r="AL22" s="114">
        <v>-0.29</v>
      </c>
      <c r="AM22" s="16">
        <v>-4.44</v>
      </c>
      <c r="AN22" s="16" t="s">
        <v>34</v>
      </c>
      <c r="AO22" s="16" t="s">
        <v>34</v>
      </c>
      <c r="AP22" s="16">
        <v>0.05</v>
      </c>
      <c r="AQ22" s="16">
        <v>-0.28</v>
      </c>
      <c r="AR22" s="16">
        <v>-0.17</v>
      </c>
      <c r="AS22" s="16">
        <v>0.58</v>
      </c>
      <c r="AT22" s="16" t="s">
        <v>34</v>
      </c>
      <c r="AU22" s="16">
        <v>-0.28</v>
      </c>
      <c r="AV22" s="16">
        <v>-0.75</v>
      </c>
      <c r="AW22" s="16">
        <v>-3.05</v>
      </c>
      <c r="AX22" s="16">
        <v>-2.46</v>
      </c>
      <c r="AY22" s="16">
        <v>-0.95</v>
      </c>
      <c r="AZ22" s="16">
        <v>-0.81</v>
      </c>
      <c r="BA22" s="16">
        <v>-1.66</v>
      </c>
      <c r="BB22" s="16">
        <v>1.21</v>
      </c>
      <c r="BC22" s="16">
        <v>-0.5</v>
      </c>
      <c r="BD22" s="16">
        <v>-0.1</v>
      </c>
      <c r="BE22" s="16">
        <v>0.51</v>
      </c>
      <c r="BF22" s="16">
        <v>-0.86</v>
      </c>
      <c r="BG22" s="16">
        <v>0.81</v>
      </c>
      <c r="BH22" s="16">
        <v>-1.1</v>
      </c>
      <c r="BI22" s="16">
        <v>-0.96</v>
      </c>
      <c r="BJ22" s="16">
        <v>-1.62</v>
      </c>
      <c r="BK22" s="16">
        <v>-0.01</v>
      </c>
      <c r="BL22" s="16">
        <v>-2.71</v>
      </c>
      <c r="BM22" s="16">
        <v>-2.61</v>
      </c>
      <c r="BN22" s="16">
        <v>-2.1</v>
      </c>
      <c r="BO22" s="16">
        <v>0.72</v>
      </c>
      <c r="BP22" s="16">
        <v>1.64</v>
      </c>
      <c r="BQ22" s="16">
        <v>-2.34</v>
      </c>
      <c r="BR22" s="16">
        <v>-2.16</v>
      </c>
      <c r="BS22" s="16">
        <v>-2.28</v>
      </c>
      <c r="BT22" s="16">
        <v>-0.9840625</v>
      </c>
      <c r="BU22" s="16">
        <v>-0.38549216320281904</v>
      </c>
    </row>
    <row r="23" spans="1:73" ht="12.75">
      <c r="A23" s="4">
        <f>IF(Demography!A22="","",Demography!A22)</f>
        <v>1579</v>
      </c>
      <c r="B23" s="1">
        <v>1</v>
      </c>
      <c r="C23" s="1">
        <v>3</v>
      </c>
      <c r="D23" s="1">
        <v>1</v>
      </c>
      <c r="E23" s="1">
        <v>2</v>
      </c>
      <c r="F23" s="1" t="s">
        <v>34</v>
      </c>
      <c r="G23" s="1">
        <v>3</v>
      </c>
      <c r="H23" s="1">
        <v>2</v>
      </c>
      <c r="I23" s="1">
        <v>3</v>
      </c>
      <c r="J23" s="1">
        <v>2</v>
      </c>
      <c r="K23" s="1" t="s">
        <v>34</v>
      </c>
      <c r="L23" s="1" t="s">
        <v>34</v>
      </c>
      <c r="M23" s="1" t="s">
        <v>34</v>
      </c>
      <c r="N23" s="1">
        <v>1</v>
      </c>
      <c r="O23" s="1">
        <v>1</v>
      </c>
      <c r="P23" s="1">
        <v>2</v>
      </c>
      <c r="Q23" s="1">
        <v>2</v>
      </c>
      <c r="R23" s="1">
        <v>2</v>
      </c>
      <c r="S23" s="1">
        <v>1</v>
      </c>
      <c r="T23" s="1">
        <v>2</v>
      </c>
      <c r="U23" s="1">
        <v>2</v>
      </c>
      <c r="V23" s="1">
        <v>2</v>
      </c>
      <c r="W23" s="1">
        <v>1</v>
      </c>
      <c r="X23" s="1">
        <v>3</v>
      </c>
      <c r="Y23" s="1" t="s">
        <v>34</v>
      </c>
      <c r="Z23" s="1">
        <v>3</v>
      </c>
      <c r="AA23" s="1">
        <v>2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2</v>
      </c>
      <c r="AH23" s="1">
        <v>2</v>
      </c>
      <c r="AI23" s="1">
        <v>2</v>
      </c>
      <c r="AJ23" s="1">
        <v>1</v>
      </c>
      <c r="AK23" s="121">
        <v>-3.94</v>
      </c>
      <c r="AL23" s="114">
        <v>0.64</v>
      </c>
      <c r="AM23" s="16">
        <v>-4.44</v>
      </c>
      <c r="AN23" s="16">
        <v>-1.93</v>
      </c>
      <c r="AO23" s="16" t="s">
        <v>34</v>
      </c>
      <c r="AP23" s="16">
        <v>0.05</v>
      </c>
      <c r="AQ23" s="16">
        <v>-1.21</v>
      </c>
      <c r="AR23" s="16">
        <v>0.76</v>
      </c>
      <c r="AS23" s="16">
        <v>0.58</v>
      </c>
      <c r="AT23" s="16" t="s">
        <v>34</v>
      </c>
      <c r="AU23" s="16" t="s">
        <v>34</v>
      </c>
      <c r="AV23" s="16" t="s">
        <v>34</v>
      </c>
      <c r="AW23" s="16">
        <v>-3.05</v>
      </c>
      <c r="AX23" s="16">
        <v>-2.46</v>
      </c>
      <c r="AY23" s="16">
        <v>-0.95</v>
      </c>
      <c r="AZ23" s="16">
        <v>-0.81</v>
      </c>
      <c r="BA23" s="16">
        <v>-1.66</v>
      </c>
      <c r="BB23" s="16">
        <v>-1.14</v>
      </c>
      <c r="BC23" s="16">
        <v>-0.5</v>
      </c>
      <c r="BD23" s="16">
        <v>-0.1</v>
      </c>
      <c r="BE23" s="16">
        <v>-0.42</v>
      </c>
      <c r="BF23" s="16">
        <v>-2.28</v>
      </c>
      <c r="BG23" s="16">
        <v>0.81</v>
      </c>
      <c r="BH23" s="16" t="s">
        <v>34</v>
      </c>
      <c r="BI23" s="16">
        <v>-0.03</v>
      </c>
      <c r="BJ23" s="16">
        <v>-1.62</v>
      </c>
      <c r="BK23" s="16">
        <v>-2.36</v>
      </c>
      <c r="BL23" s="16">
        <v>-2.71</v>
      </c>
      <c r="BM23" s="16">
        <v>-2.61</v>
      </c>
      <c r="BN23" s="16">
        <v>-2.1</v>
      </c>
      <c r="BO23" s="16">
        <v>-1.63</v>
      </c>
      <c r="BP23" s="16">
        <v>-0.21</v>
      </c>
      <c r="BQ23" s="16">
        <v>-0.92</v>
      </c>
      <c r="BR23" s="16">
        <v>-0.74</v>
      </c>
      <c r="BS23" s="16">
        <v>-2.28</v>
      </c>
      <c r="BT23" s="16">
        <v>-1.308666666666667</v>
      </c>
      <c r="BU23" s="16">
        <v>-0.5451495252883322</v>
      </c>
    </row>
    <row r="24" spans="1:73" ht="12.75">
      <c r="A24" s="4">
        <f>IF(Demography!A23="","",Demography!A23)</f>
        <v>1580</v>
      </c>
      <c r="B24" s="8">
        <v>2</v>
      </c>
      <c r="C24" s="8">
        <v>2</v>
      </c>
      <c r="D24" s="8">
        <v>2</v>
      </c>
      <c r="E24" s="8">
        <v>3</v>
      </c>
      <c r="F24" s="8" t="s">
        <v>34</v>
      </c>
      <c r="G24" s="8">
        <v>2</v>
      </c>
      <c r="H24" s="8">
        <v>2</v>
      </c>
      <c r="I24" s="8">
        <v>4</v>
      </c>
      <c r="J24" s="8">
        <v>3</v>
      </c>
      <c r="K24" s="8" t="s">
        <v>34</v>
      </c>
      <c r="L24" s="8" t="s">
        <v>34</v>
      </c>
      <c r="M24" s="8">
        <v>3</v>
      </c>
      <c r="N24" s="8">
        <v>1</v>
      </c>
      <c r="O24" s="8">
        <v>2</v>
      </c>
      <c r="P24" s="8">
        <v>2</v>
      </c>
      <c r="Q24" s="8">
        <v>2</v>
      </c>
      <c r="R24" s="8">
        <v>3</v>
      </c>
      <c r="S24" s="8">
        <v>1</v>
      </c>
      <c r="T24" s="8">
        <v>2</v>
      </c>
      <c r="U24" s="8">
        <v>1</v>
      </c>
      <c r="V24" s="8">
        <v>1</v>
      </c>
      <c r="W24" s="8">
        <v>1</v>
      </c>
      <c r="X24" s="8">
        <v>2</v>
      </c>
      <c r="Y24" s="8">
        <v>1</v>
      </c>
      <c r="Z24" s="8">
        <v>3</v>
      </c>
      <c r="AA24" s="8">
        <v>3</v>
      </c>
      <c r="AB24" s="8">
        <v>2</v>
      </c>
      <c r="AC24" s="8">
        <v>1</v>
      </c>
      <c r="AD24" s="8">
        <v>1</v>
      </c>
      <c r="AE24" s="8">
        <v>1</v>
      </c>
      <c r="AF24" s="8">
        <v>1</v>
      </c>
      <c r="AG24" s="8">
        <v>2</v>
      </c>
      <c r="AH24" s="8">
        <v>2</v>
      </c>
      <c r="AI24" s="8">
        <v>1</v>
      </c>
      <c r="AJ24" s="8">
        <v>3</v>
      </c>
      <c r="AK24" s="121">
        <v>-2.52</v>
      </c>
      <c r="AL24" s="114">
        <v>-0.29</v>
      </c>
      <c r="AM24" s="16">
        <v>-3.02</v>
      </c>
      <c r="AN24" s="16">
        <v>-1</v>
      </c>
      <c r="AO24" s="16" t="s">
        <v>34</v>
      </c>
      <c r="AP24" s="16">
        <v>-0.88</v>
      </c>
      <c r="AQ24" s="16">
        <v>-1.21</v>
      </c>
      <c r="AR24" s="16">
        <v>1.68</v>
      </c>
      <c r="AS24" s="16">
        <v>1.51</v>
      </c>
      <c r="AT24" s="16" t="s">
        <v>34</v>
      </c>
      <c r="AU24" s="16" t="s">
        <v>34</v>
      </c>
      <c r="AV24" s="16">
        <v>0.18</v>
      </c>
      <c r="AW24" s="16">
        <v>-3.05</v>
      </c>
      <c r="AX24" s="16">
        <v>-1.04</v>
      </c>
      <c r="AY24" s="16">
        <v>-0.95</v>
      </c>
      <c r="AZ24" s="16">
        <v>-0.81</v>
      </c>
      <c r="BA24" s="16">
        <v>-0.73</v>
      </c>
      <c r="BB24" s="16">
        <v>-1.14</v>
      </c>
      <c r="BC24" s="16">
        <v>-0.5</v>
      </c>
      <c r="BD24" s="16">
        <v>-1.52</v>
      </c>
      <c r="BE24" s="16">
        <v>-1.84</v>
      </c>
      <c r="BF24" s="16">
        <v>-2.28</v>
      </c>
      <c r="BG24" s="16">
        <v>-0.12</v>
      </c>
      <c r="BH24" s="16">
        <v>-2.52</v>
      </c>
      <c r="BI24" s="16">
        <v>-0.03</v>
      </c>
      <c r="BJ24" s="16">
        <v>-0.69</v>
      </c>
      <c r="BK24" s="16">
        <v>-0.94</v>
      </c>
      <c r="BL24" s="16">
        <v>-2.71</v>
      </c>
      <c r="BM24" s="16">
        <v>-2.61</v>
      </c>
      <c r="BN24" s="16">
        <v>-2.1</v>
      </c>
      <c r="BO24" s="16">
        <v>-1.63</v>
      </c>
      <c r="BP24" s="16">
        <v>-0.21</v>
      </c>
      <c r="BQ24" s="16">
        <v>-0.92</v>
      </c>
      <c r="BR24" s="16">
        <v>-2.16</v>
      </c>
      <c r="BS24" s="16">
        <v>0.07</v>
      </c>
      <c r="BT24" s="16">
        <v>-1.124375</v>
      </c>
      <c r="BU24" s="16">
        <v>-0.45104809109778304</v>
      </c>
    </row>
    <row r="25" spans="1:38" ht="12.75">
      <c r="A25" s="315">
        <f>IF(Demography!A24="","",Demography!A24)</f>
        <v>1595</v>
      </c>
      <c r="AK25" s="36"/>
      <c r="AL25" s="107"/>
    </row>
    <row r="26" spans="1:73" ht="12.75">
      <c r="A26" s="4">
        <f>IF(Demography!A25="","",Demography!A25)</f>
        <v>1598</v>
      </c>
      <c r="B26" s="1">
        <v>2</v>
      </c>
      <c r="C26" s="1">
        <v>3</v>
      </c>
      <c r="D26" s="1">
        <v>2</v>
      </c>
      <c r="E26" s="1">
        <v>3</v>
      </c>
      <c r="F26" s="1" t="s">
        <v>34</v>
      </c>
      <c r="G26" s="1">
        <v>4</v>
      </c>
      <c r="H26" s="1">
        <v>3</v>
      </c>
      <c r="I26" s="1">
        <v>4</v>
      </c>
      <c r="J26" s="1" t="s">
        <v>34</v>
      </c>
      <c r="K26" s="1" t="s">
        <v>34</v>
      </c>
      <c r="L26" s="1">
        <v>2</v>
      </c>
      <c r="M26" s="1">
        <v>2</v>
      </c>
      <c r="N26" s="1">
        <v>2</v>
      </c>
      <c r="O26" s="1">
        <v>2</v>
      </c>
      <c r="P26" s="1">
        <v>3</v>
      </c>
      <c r="Q26" s="1">
        <v>4</v>
      </c>
      <c r="R26" s="1">
        <v>3</v>
      </c>
      <c r="S26" s="1">
        <v>3</v>
      </c>
      <c r="T26" s="1">
        <v>1</v>
      </c>
      <c r="U26" s="1">
        <v>1</v>
      </c>
      <c r="V26" s="1">
        <v>1</v>
      </c>
      <c r="W26" s="1">
        <v>1</v>
      </c>
      <c r="X26" s="1">
        <v>3</v>
      </c>
      <c r="Y26" s="1">
        <v>3</v>
      </c>
      <c r="Z26" s="1">
        <v>4</v>
      </c>
      <c r="AA26" s="1">
        <v>3</v>
      </c>
      <c r="AB26" s="1">
        <v>3</v>
      </c>
      <c r="AC26" s="1">
        <v>3</v>
      </c>
      <c r="AD26" s="1">
        <v>3</v>
      </c>
      <c r="AE26" s="1">
        <v>2</v>
      </c>
      <c r="AF26" s="1">
        <v>2</v>
      </c>
      <c r="AG26" s="1">
        <v>3</v>
      </c>
      <c r="AH26" s="1">
        <v>3</v>
      </c>
      <c r="AI26" s="1">
        <v>3</v>
      </c>
      <c r="AJ26" s="1">
        <v>2</v>
      </c>
      <c r="AK26" s="121">
        <v>-2.52</v>
      </c>
      <c r="AL26" s="114">
        <v>0.64</v>
      </c>
      <c r="AM26" s="16">
        <v>-3.02</v>
      </c>
      <c r="AN26" s="16">
        <v>-1</v>
      </c>
      <c r="AO26" s="16" t="s">
        <v>34</v>
      </c>
      <c r="AP26" s="16">
        <v>0.97</v>
      </c>
      <c r="AQ26" s="16">
        <v>-0.28</v>
      </c>
      <c r="AR26" s="16">
        <v>1.68</v>
      </c>
      <c r="AS26" s="16" t="s">
        <v>34</v>
      </c>
      <c r="AT26" s="16" t="s">
        <v>34</v>
      </c>
      <c r="AU26" s="16">
        <v>-1.21</v>
      </c>
      <c r="AV26" s="16">
        <v>-0.75</v>
      </c>
      <c r="AW26" s="16">
        <v>-1.63</v>
      </c>
      <c r="AX26" s="16">
        <v>-1.04</v>
      </c>
      <c r="AY26" s="16">
        <v>-0.02</v>
      </c>
      <c r="AZ26" s="16">
        <v>1.04</v>
      </c>
      <c r="BA26" s="16">
        <v>-0.73</v>
      </c>
      <c r="BB26" s="16">
        <v>1.21</v>
      </c>
      <c r="BC26" s="16">
        <v>-1.92</v>
      </c>
      <c r="BD26" s="16">
        <v>-1.52</v>
      </c>
      <c r="BE26" s="16">
        <v>-1.84</v>
      </c>
      <c r="BF26" s="16">
        <v>-2.28</v>
      </c>
      <c r="BG26" s="16">
        <v>0.81</v>
      </c>
      <c r="BH26" s="16">
        <v>-0.17</v>
      </c>
      <c r="BI26" s="16">
        <v>0.89</v>
      </c>
      <c r="BJ26" s="16">
        <v>-0.69</v>
      </c>
      <c r="BK26" s="16">
        <v>-0.01</v>
      </c>
      <c r="BL26" s="16">
        <v>-0.36</v>
      </c>
      <c r="BM26" s="16">
        <v>-0.26</v>
      </c>
      <c r="BN26" s="16">
        <v>-0.68</v>
      </c>
      <c r="BO26" s="16">
        <v>-0.21</v>
      </c>
      <c r="BP26" s="16">
        <v>0.72</v>
      </c>
      <c r="BQ26" s="16">
        <v>0.01</v>
      </c>
      <c r="BR26" s="16">
        <v>0.19</v>
      </c>
      <c r="BS26" s="16">
        <v>-0.86</v>
      </c>
      <c r="BT26" s="16">
        <v>-0.46375</v>
      </c>
      <c r="BU26" s="16">
        <v>-0.16977660998873792</v>
      </c>
    </row>
    <row r="28" ht="10.5">
      <c r="A28" s="370" t="s">
        <v>329</v>
      </c>
    </row>
    <row r="29" ht="12.75">
      <c r="A29" s="370"/>
    </row>
    <row r="30" ht="12.75">
      <c r="A30" s="370"/>
    </row>
    <row r="31" ht="12.75">
      <c r="A31" s="370"/>
    </row>
    <row r="33" ht="12.75">
      <c r="D33" s="20"/>
    </row>
  </sheetData>
  <mergeCells count="20">
    <mergeCell ref="BP2:BS2"/>
    <mergeCell ref="AR2:BB2"/>
    <mergeCell ref="BC2:BD2"/>
    <mergeCell ref="BE2:BF2"/>
    <mergeCell ref="BG2:BH2"/>
    <mergeCell ref="BT1:BU2"/>
    <mergeCell ref="X2:Y2"/>
    <mergeCell ref="I2:S2"/>
    <mergeCell ref="Z2:AF2"/>
    <mergeCell ref="AG2:AJ2"/>
    <mergeCell ref="T2:U2"/>
    <mergeCell ref="V2:W2"/>
    <mergeCell ref="AK2:AL2"/>
    <mergeCell ref="AM2:AQ2"/>
    <mergeCell ref="BI2:BO2"/>
    <mergeCell ref="A28:A31"/>
    <mergeCell ref="A1:A2"/>
    <mergeCell ref="B2:C2"/>
    <mergeCell ref="D2:H2"/>
    <mergeCell ref="B1:AJ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zoomScale="75" zoomScaleNormal="75" workbookViewId="0" topLeftCell="A1">
      <selection activeCell="D8" sqref="D8"/>
    </sheetView>
  </sheetViews>
  <sheetFormatPr defaultColWidth="9.140625" defaultRowHeight="12"/>
  <cols>
    <col min="1" max="1" width="25.28125" style="1" customWidth="1"/>
    <col min="2" max="2" width="14.140625" style="1" customWidth="1"/>
    <col min="3" max="3" width="19.8515625" style="1" customWidth="1"/>
    <col min="4" max="4" width="22.7109375" style="8" customWidth="1"/>
    <col min="5" max="5" width="37.8515625" style="1" customWidth="1"/>
    <col min="6" max="6" width="31.8515625" style="1" customWidth="1"/>
    <col min="7" max="16384" width="12.00390625" style="2" customWidth="1"/>
  </cols>
  <sheetData>
    <row r="1" spans="1:6" s="19" customFormat="1" ht="96" customHeight="1">
      <c r="A1" s="419" t="s">
        <v>118</v>
      </c>
      <c r="B1" s="424" t="s">
        <v>134</v>
      </c>
      <c r="C1" s="425"/>
      <c r="D1" s="421" t="s">
        <v>254</v>
      </c>
      <c r="E1" s="421"/>
      <c r="F1" s="61" t="s">
        <v>58</v>
      </c>
    </row>
    <row r="2" spans="1:8" ht="36.75" customHeight="1">
      <c r="A2" s="420"/>
      <c r="B2" s="426" t="s">
        <v>60</v>
      </c>
      <c r="C2" s="427"/>
      <c r="D2" s="422" t="s">
        <v>302</v>
      </c>
      <c r="E2" s="423" t="s">
        <v>255</v>
      </c>
      <c r="F2" s="418" t="s">
        <v>59</v>
      </c>
      <c r="G2" s="18"/>
      <c r="H2" s="18"/>
    </row>
    <row r="3" spans="1:6" ht="60.75" customHeight="1">
      <c r="A3" s="60" t="s">
        <v>55</v>
      </c>
      <c r="B3" s="152" t="s">
        <v>147</v>
      </c>
      <c r="C3" s="141" t="s">
        <v>148</v>
      </c>
      <c r="D3" s="422"/>
      <c r="E3" s="423"/>
      <c r="F3" s="418"/>
    </row>
    <row r="4" spans="1:6" ht="12.75">
      <c r="A4" s="35">
        <f>IF(Demography!A3="","",Demography!A3)</f>
        <v>970</v>
      </c>
      <c r="B4" s="326">
        <v>35915</v>
      </c>
      <c r="C4" s="135">
        <f>IF(B4="","",B4-'Visit 1 - Neglect'!B3)</f>
        <v>19</v>
      </c>
      <c r="D4" s="142">
        <v>25</v>
      </c>
      <c r="E4" s="136">
        <v>20</v>
      </c>
      <c r="F4" s="138" t="s">
        <v>51</v>
      </c>
    </row>
    <row r="5" spans="1:6" ht="12.75">
      <c r="A5" s="36">
        <f>IF(Demography!A4="","",Demography!A4)</f>
        <v>979</v>
      </c>
      <c r="B5" s="327">
        <v>35964</v>
      </c>
      <c r="C5" s="134">
        <f>IF(B5="","",B5-'Visit 1 - Neglect'!B4)</f>
        <v>9</v>
      </c>
      <c r="D5" s="43">
        <v>26</v>
      </c>
      <c r="E5" s="107">
        <v>6</v>
      </c>
      <c r="F5" s="139" t="s">
        <v>51</v>
      </c>
    </row>
    <row r="6" spans="1:6" ht="12.75">
      <c r="A6" s="36">
        <f>IF(Demography!A5="","",Demography!A5)</f>
        <v>1035</v>
      </c>
      <c r="B6" s="327">
        <v>35963</v>
      </c>
      <c r="C6" s="134">
        <f>IF(B6="","",B6-'Visit 1 - Neglect'!B5)</f>
        <v>13</v>
      </c>
      <c r="D6" s="43">
        <v>28</v>
      </c>
      <c r="E6" s="107">
        <v>26</v>
      </c>
      <c r="F6" s="139" t="s">
        <v>51</v>
      </c>
    </row>
    <row r="7" spans="1:6" ht="12.75">
      <c r="A7" s="36">
        <f>IF(Demography!A6="","",Demography!A6)</f>
        <v>1018</v>
      </c>
      <c r="B7" s="327">
        <v>36029</v>
      </c>
      <c r="C7" s="134">
        <f>IF(B7="","",B7-'Visit 1 - Neglect'!B6)</f>
        <v>49</v>
      </c>
      <c r="D7" s="43">
        <v>24</v>
      </c>
      <c r="E7" s="107">
        <v>14</v>
      </c>
      <c r="F7" s="139" t="s">
        <v>51</v>
      </c>
    </row>
    <row r="8" spans="1:6" ht="12.75">
      <c r="A8" s="314">
        <f>IF(Demography!A7="","",Demography!A7)</f>
        <v>1106</v>
      </c>
      <c r="B8" s="327">
        <v>36092</v>
      </c>
      <c r="C8" s="134">
        <f>IF(B8="","",B8-'Visit 1 - Neglect'!B7)</f>
        <v>105</v>
      </c>
      <c r="D8" s="43">
        <v>31</v>
      </c>
      <c r="E8" s="107">
        <v>0</v>
      </c>
      <c r="F8" s="139" t="s">
        <v>51</v>
      </c>
    </row>
    <row r="9" spans="1:6" ht="12.75">
      <c r="A9" s="37">
        <f>IF(Demography!A8="","",Demography!A8)</f>
        <v>1109</v>
      </c>
      <c r="B9" s="327">
        <v>36028</v>
      </c>
      <c r="C9" s="134">
        <f>IF(B9="","",B9-'Visit 1 - Neglect'!B8)</f>
        <v>16</v>
      </c>
      <c r="D9" s="43">
        <v>27</v>
      </c>
      <c r="E9" s="107">
        <v>10</v>
      </c>
      <c r="F9" s="139" t="s">
        <v>51</v>
      </c>
    </row>
    <row r="10" spans="1:6" ht="12.75">
      <c r="A10" s="314">
        <f>IF(Demography!A9="","",Demography!A9)</f>
        <v>1054</v>
      </c>
      <c r="B10" s="327">
        <v>36033</v>
      </c>
      <c r="C10" s="134">
        <f>IF(B10="","",B10-'Visit 1 - Neglect'!B9)</f>
        <v>20</v>
      </c>
      <c r="D10" s="43">
        <v>30</v>
      </c>
      <c r="E10" s="107">
        <v>10</v>
      </c>
      <c r="F10" s="139" t="s">
        <v>51</v>
      </c>
    </row>
    <row r="11" spans="1:6" ht="12.75">
      <c r="A11" s="37">
        <f>IF(Demography!A10="","",Demography!A10)</f>
        <v>1141</v>
      </c>
      <c r="B11" s="327">
        <v>36229</v>
      </c>
      <c r="C11" s="134">
        <f>IF(B11="","",B11-'Visit 1 - Neglect'!B10)</f>
        <v>39</v>
      </c>
      <c r="D11" s="43">
        <v>20</v>
      </c>
      <c r="E11" s="107">
        <v>10</v>
      </c>
      <c r="F11" s="139" t="s">
        <v>51</v>
      </c>
    </row>
    <row r="12" spans="1:6" ht="12.75">
      <c r="A12" s="37">
        <f>IF(Demography!A11="","",Demography!A11)</f>
        <v>992</v>
      </c>
      <c r="B12" s="327">
        <v>36091</v>
      </c>
      <c r="C12" s="134">
        <f>IF(B12="","",B12-'Visit 1 - Neglect'!B11)</f>
        <v>35</v>
      </c>
      <c r="D12" s="43">
        <v>22</v>
      </c>
      <c r="E12" s="107">
        <v>10</v>
      </c>
      <c r="F12" s="139" t="s">
        <v>51</v>
      </c>
    </row>
    <row r="13" spans="1:6" ht="12.75">
      <c r="A13" s="37">
        <f>IF(Demography!A12="","",Demography!A12)</f>
        <v>1163</v>
      </c>
      <c r="B13" s="327">
        <v>36232</v>
      </c>
      <c r="C13" s="134">
        <f>IF(B13="","",B13-'Visit 1 - Neglect'!B12)</f>
        <v>18</v>
      </c>
      <c r="D13" s="43">
        <v>22</v>
      </c>
      <c r="E13" s="107">
        <v>20</v>
      </c>
      <c r="F13" s="139" t="s">
        <v>51</v>
      </c>
    </row>
    <row r="14" spans="1:6" ht="12.75">
      <c r="A14" s="37">
        <f>IF(Demography!A13="","",Demography!A13)</f>
        <v>1190</v>
      </c>
      <c r="B14" s="327">
        <v>36323</v>
      </c>
      <c r="C14" s="134">
        <f>IF(B14="","",B14-'Visit 1 - Neglect'!B13)</f>
        <v>79</v>
      </c>
      <c r="D14" s="43">
        <v>20</v>
      </c>
      <c r="E14" s="107">
        <v>15</v>
      </c>
      <c r="F14" s="139" t="s">
        <v>51</v>
      </c>
    </row>
    <row r="15" spans="1:6" ht="12.75">
      <c r="A15" s="37">
        <f>IF(Demography!A14="","",Demography!A14)</f>
        <v>1231</v>
      </c>
      <c r="B15" s="327">
        <v>36316</v>
      </c>
      <c r="C15" s="134">
        <f>IF(B15="","",B15-'Visit 1 - Neglect'!B14)</f>
        <v>8</v>
      </c>
      <c r="D15" s="43">
        <v>24</v>
      </c>
      <c r="E15" s="107">
        <v>10</v>
      </c>
      <c r="F15" s="139" t="s">
        <v>51</v>
      </c>
    </row>
    <row r="16" spans="1:6" ht="12.75">
      <c r="A16" s="314">
        <f>IF(Demography!A15="","",Demography!A15)</f>
        <v>1235</v>
      </c>
      <c r="B16" s="327">
        <v>36337</v>
      </c>
      <c r="C16" s="134">
        <f>IF(B16="","",B16-'Visit 1 - Neglect'!B15)</f>
        <v>1</v>
      </c>
      <c r="D16" s="43">
        <v>28</v>
      </c>
      <c r="E16" s="46">
        <v>15</v>
      </c>
      <c r="F16" s="25" t="s">
        <v>51</v>
      </c>
    </row>
    <row r="17" spans="1:6" ht="12.75">
      <c r="A17" s="37">
        <f>IF(Demography!A16="","",Demography!A16)</f>
        <v>1249</v>
      </c>
      <c r="B17" s="327">
        <v>36379</v>
      </c>
      <c r="C17" s="134">
        <f>IF(B17="","",B17-'Visit 1 - Neglect'!B16)</f>
        <v>23</v>
      </c>
      <c r="D17" s="43">
        <v>22</v>
      </c>
      <c r="E17" s="107">
        <v>15</v>
      </c>
      <c r="F17" s="139" t="s">
        <v>51</v>
      </c>
    </row>
    <row r="18" spans="1:6" ht="12.75">
      <c r="A18" s="37">
        <f>IF(Demography!A17="","",Demography!A17)</f>
        <v>1308</v>
      </c>
      <c r="B18" s="327">
        <v>36635</v>
      </c>
      <c r="C18" s="134">
        <f>IF(B18="","",B18-'Visit 1 - Neglect'!B17)</f>
        <v>62</v>
      </c>
      <c r="D18" s="43">
        <v>22</v>
      </c>
      <c r="E18" s="107">
        <v>17</v>
      </c>
      <c r="F18" s="139" t="s">
        <v>51</v>
      </c>
    </row>
    <row r="19" spans="1:6" ht="12.75">
      <c r="A19" s="37">
        <f>IF(Demography!A18="","",Demography!A18)</f>
        <v>1287</v>
      </c>
      <c r="B19" s="327">
        <v>36666</v>
      </c>
      <c r="C19" s="134">
        <f>IF(B19="","",B19-'Visit 1 - Neglect'!B18)</f>
        <v>162</v>
      </c>
      <c r="D19" s="43">
        <v>23</v>
      </c>
      <c r="E19" s="107">
        <v>15</v>
      </c>
      <c r="F19" s="139" t="s">
        <v>51</v>
      </c>
    </row>
    <row r="20" spans="1:6" ht="12.75">
      <c r="A20" s="37">
        <f>IF(Demography!A19="","",Demography!A19)</f>
        <v>1467</v>
      </c>
      <c r="B20" s="327">
        <v>36818</v>
      </c>
      <c r="C20" s="134">
        <f>IF(B20="","",B20-'Visit 1 - Neglect'!B19)</f>
        <v>8</v>
      </c>
      <c r="D20" s="43">
        <v>20</v>
      </c>
      <c r="E20" s="107">
        <v>15</v>
      </c>
      <c r="F20" s="139" t="s">
        <v>9</v>
      </c>
    </row>
    <row r="21" spans="1:6" ht="12.75">
      <c r="A21" s="36">
        <f>IF(Demography!A20="","",Demography!A20)</f>
        <v>1324</v>
      </c>
      <c r="B21" s="327">
        <v>36834</v>
      </c>
      <c r="C21" s="134">
        <f>IF(B21="","",B21-'Visit 1 - Neglect'!B20)</f>
        <v>40</v>
      </c>
      <c r="D21" s="43">
        <v>22</v>
      </c>
      <c r="E21" s="107">
        <v>17</v>
      </c>
      <c r="F21" s="139" t="s">
        <v>9</v>
      </c>
    </row>
    <row r="22" spans="1:6" ht="12.75">
      <c r="A22" s="36">
        <f>IF(Demography!A21="","",Demography!A21)</f>
        <v>1565</v>
      </c>
      <c r="B22" s="327">
        <v>37044</v>
      </c>
      <c r="C22" s="134">
        <f>IF(B22="","",B22-'Visit 1 - Neglect'!B21)</f>
        <v>11</v>
      </c>
      <c r="D22" s="43">
        <v>20</v>
      </c>
      <c r="E22" s="107">
        <v>22</v>
      </c>
      <c r="F22" s="139" t="s">
        <v>9</v>
      </c>
    </row>
    <row r="23" spans="1:6" ht="12.75">
      <c r="A23" s="36">
        <f>IF(Demography!A22="","",Demography!A22)</f>
        <v>1579</v>
      </c>
      <c r="B23" s="327">
        <v>37058</v>
      </c>
      <c r="C23" s="134">
        <f>IF(B23="","",B23-'Visit 1 - Neglect'!B22)</f>
        <v>4</v>
      </c>
      <c r="D23" s="43">
        <v>20</v>
      </c>
      <c r="E23" s="107">
        <v>23</v>
      </c>
      <c r="F23" s="139" t="s">
        <v>9</v>
      </c>
    </row>
    <row r="24" spans="1:6" ht="12.75">
      <c r="A24" s="36">
        <f>IF(Demography!A23="","",Demography!A23)</f>
        <v>1580</v>
      </c>
      <c r="B24" s="327">
        <v>37086</v>
      </c>
      <c r="C24" s="134">
        <f>IF(B24="","",B24-'Visit 1 - Neglect'!B23)</f>
        <v>35</v>
      </c>
      <c r="D24" s="43">
        <v>20</v>
      </c>
      <c r="E24" s="107">
        <v>20</v>
      </c>
      <c r="F24" s="139" t="s">
        <v>9</v>
      </c>
    </row>
    <row r="25" spans="1:6" ht="12.75">
      <c r="A25" s="314">
        <f>IF(Demography!A24="","",Demography!A24)</f>
        <v>1595</v>
      </c>
      <c r="B25" s="327">
        <v>37156</v>
      </c>
      <c r="C25" s="134">
        <f>IF(B25="","",B25-'Visit 1 - Neglect'!B24)</f>
        <v>42</v>
      </c>
      <c r="D25" s="43">
        <v>25</v>
      </c>
      <c r="E25" s="107">
        <v>25</v>
      </c>
      <c r="F25" s="139" t="s">
        <v>9</v>
      </c>
    </row>
    <row r="26" spans="1:6" ht="13.5" thickBot="1">
      <c r="A26" s="51">
        <f>IF(Demography!A25="","",Demography!A25)</f>
        <v>1598</v>
      </c>
      <c r="B26" s="330">
        <v>37142</v>
      </c>
      <c r="C26" s="134">
        <f>IF(B26="","",B26-'Visit 1 - Neglect'!B25)</f>
        <v>7</v>
      </c>
      <c r="D26" s="43">
        <v>20</v>
      </c>
      <c r="E26" s="52">
        <v>20</v>
      </c>
      <c r="F26" s="140" t="s">
        <v>9</v>
      </c>
    </row>
    <row r="27" spans="1:4" ht="12.75" customHeight="1">
      <c r="A27" s="370" t="s">
        <v>329</v>
      </c>
      <c r="B27" s="413" t="s">
        <v>321</v>
      </c>
      <c r="C27" s="416" t="s">
        <v>306</v>
      </c>
      <c r="D27" s="417"/>
    </row>
    <row r="28" spans="1:5" ht="12.75">
      <c r="A28" s="370"/>
      <c r="B28" s="414"/>
      <c r="C28" s="297" t="s">
        <v>24</v>
      </c>
      <c r="D28" s="239">
        <f>AVERAGE(D4:D26)</f>
        <v>23.52173913043478</v>
      </c>
      <c r="E28"/>
    </row>
    <row r="29" spans="1:4" ht="12.75">
      <c r="A29" s="370"/>
      <c r="B29" s="415"/>
      <c r="C29" s="297" t="s">
        <v>74</v>
      </c>
      <c r="D29" s="240">
        <f>STDEV(D4:D26)</f>
        <v>3.4360331940585076</v>
      </c>
    </row>
    <row r="30" spans="1:4" ht="12.75">
      <c r="A30" s="370"/>
      <c r="B30" s="51">
        <f>COUNTA(B4:B26)</f>
        <v>23</v>
      </c>
      <c r="C30" s="297" t="s">
        <v>75</v>
      </c>
      <c r="D30" s="239">
        <f>MEDIAN(D4:D26)</f>
        <v>22</v>
      </c>
    </row>
    <row r="31" spans="3:4" ht="12.75">
      <c r="C31" s="297" t="s">
        <v>322</v>
      </c>
      <c r="D31" s="239">
        <f>MIN(D4:D26)</f>
        <v>20</v>
      </c>
    </row>
    <row r="32" spans="3:4" ht="13.5" thickBot="1">
      <c r="C32" s="298" t="s">
        <v>323</v>
      </c>
      <c r="D32" s="242">
        <f>MAX(D4:D26)</f>
        <v>31</v>
      </c>
    </row>
    <row r="33" spans="3:4" ht="12.75">
      <c r="C33"/>
      <c r="D33"/>
    </row>
    <row r="34" spans="3:4" ht="12.75">
      <c r="C34"/>
      <c r="D34"/>
    </row>
  </sheetData>
  <mergeCells count="10">
    <mergeCell ref="A27:A30"/>
    <mergeCell ref="B27:B29"/>
    <mergeCell ref="C27:D27"/>
    <mergeCell ref="F2:F3"/>
    <mergeCell ref="A1:A2"/>
    <mergeCell ref="D1:E1"/>
    <mergeCell ref="D2:D3"/>
    <mergeCell ref="E2:E3"/>
    <mergeCell ref="B1:C1"/>
    <mergeCell ref="B2:C2"/>
  </mergeCells>
  <printOptions/>
  <pageMargins left="0.75" right="0.75" top="1" bottom="1" header="0.5" footer="0.5"/>
  <pageSetup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1" sqref="F31"/>
    </sheetView>
  </sheetViews>
  <sheetFormatPr defaultColWidth="9.140625" defaultRowHeight="12"/>
  <cols>
    <col min="1" max="1" width="22.00390625" style="1" customWidth="1"/>
    <col min="2" max="2" width="17.28125" style="1" customWidth="1"/>
    <col min="3" max="4" width="12.00390625" style="1" customWidth="1"/>
    <col min="5" max="5" width="30.00390625" style="8" customWidth="1"/>
    <col min="6" max="6" width="33.7109375" style="1" customWidth="1"/>
    <col min="7" max="7" width="35.140625" style="1" customWidth="1"/>
    <col min="8" max="16384" width="12.00390625" style="1" customWidth="1"/>
  </cols>
  <sheetData>
    <row r="1" spans="1:7" ht="42.75" customHeight="1">
      <c r="A1" s="430" t="s">
        <v>118</v>
      </c>
      <c r="B1" s="435" t="s">
        <v>1</v>
      </c>
      <c r="C1" s="436"/>
      <c r="D1" s="436"/>
      <c r="E1" s="436"/>
      <c r="F1" s="436"/>
      <c r="G1" s="437"/>
    </row>
    <row r="2" spans="1:7" ht="53.25" customHeight="1">
      <c r="A2" s="431"/>
      <c r="B2" s="434" t="s">
        <v>60</v>
      </c>
      <c r="C2" s="434"/>
      <c r="D2" s="434"/>
      <c r="E2" s="432" t="s">
        <v>301</v>
      </c>
      <c r="F2" s="433"/>
      <c r="G2" s="61" t="s">
        <v>58</v>
      </c>
    </row>
    <row r="3" spans="1:7" ht="98.25" customHeight="1">
      <c r="A3" s="71" t="s">
        <v>55</v>
      </c>
      <c r="B3" s="152" t="s">
        <v>61</v>
      </c>
      <c r="C3" s="58" t="s">
        <v>53</v>
      </c>
      <c r="D3" s="58" t="s">
        <v>63</v>
      </c>
      <c r="E3" s="143" t="s">
        <v>303</v>
      </c>
      <c r="F3" s="202" t="s">
        <v>304</v>
      </c>
      <c r="G3" s="152" t="s">
        <v>59</v>
      </c>
    </row>
    <row r="4" spans="1:7" ht="12.75">
      <c r="A4" s="1">
        <f>IF(Demography!A3="","",Demography!A3)</f>
        <v>970</v>
      </c>
      <c r="B4" s="327">
        <v>35930</v>
      </c>
      <c r="C4" s="134">
        <f>IF(B4="","",B4-'Visit 1 - Neglect'!B3)</f>
        <v>34</v>
      </c>
      <c r="D4" s="134">
        <f>IF(B4="","",B4-'Visit 2'!B4)</f>
        <v>15</v>
      </c>
      <c r="E4" s="312">
        <v>20</v>
      </c>
      <c r="F4" s="107">
        <v>25</v>
      </c>
      <c r="G4" s="139" t="s">
        <v>51</v>
      </c>
    </row>
    <row r="5" spans="1:7" ht="12.75">
      <c r="A5" s="1">
        <f>IF(Demography!A4="","",Demography!A4)</f>
        <v>979</v>
      </c>
      <c r="B5" s="327">
        <v>35970</v>
      </c>
      <c r="C5" s="134">
        <f>IF(B5="","",B5-'Visit 1 - Neglect'!B4)</f>
        <v>15</v>
      </c>
      <c r="D5" s="134">
        <f>IF(B5="","",B5-'Visit 2'!B5)</f>
        <v>6</v>
      </c>
      <c r="E5" s="42">
        <v>25</v>
      </c>
      <c r="F5" s="107">
        <v>15</v>
      </c>
      <c r="G5" s="139" t="s">
        <v>51</v>
      </c>
    </row>
    <row r="6" spans="1:7" ht="12.75">
      <c r="A6" s="1">
        <f>IF(Demography!A5="","",Demography!A5)</f>
        <v>1035</v>
      </c>
      <c r="B6" s="327">
        <v>35973</v>
      </c>
      <c r="C6" s="134">
        <f>IF(B6="","",B6-'Visit 1 - Neglect'!B5)</f>
        <v>23</v>
      </c>
      <c r="D6" s="134">
        <f>IF(B6="","",B6-'Visit 2'!B6)</f>
        <v>10</v>
      </c>
      <c r="E6" s="42">
        <v>26</v>
      </c>
      <c r="F6" s="107">
        <v>20</v>
      </c>
      <c r="G6" s="139" t="s">
        <v>51</v>
      </c>
    </row>
    <row r="7" spans="1:7" ht="12.75">
      <c r="A7" s="1">
        <f>IF(Demography!A6="","",Demography!A6)</f>
        <v>1018</v>
      </c>
      <c r="B7" s="327">
        <v>36036</v>
      </c>
      <c r="C7" s="134">
        <f>IF(B7="","",B7-'Visit 1 - Neglect'!B6)</f>
        <v>56</v>
      </c>
      <c r="D7" s="134">
        <f>IF(B7="","",B7-'Visit 2'!B7)</f>
        <v>7</v>
      </c>
      <c r="E7" s="42">
        <v>24</v>
      </c>
      <c r="F7" s="107">
        <v>16</v>
      </c>
      <c r="G7" s="139" t="s">
        <v>51</v>
      </c>
    </row>
    <row r="8" spans="1:7" ht="12.75">
      <c r="A8" s="315">
        <f>IF(Demography!A7="","",Demography!A7)</f>
        <v>1106</v>
      </c>
      <c r="B8" s="328"/>
      <c r="C8" s="134">
        <f>IF(B8="","",B8-'Visit 1 - Neglect'!B7)</f>
      </c>
      <c r="D8" s="134">
        <f>IF(B8="","",B8-'Visit 2'!B8)</f>
      </c>
      <c r="E8" s="43"/>
      <c r="F8" s="46"/>
      <c r="G8" s="25"/>
    </row>
    <row r="9" spans="1:7" ht="12.75">
      <c r="A9" s="1">
        <f>IF(Demography!A8="","",Demography!A8)</f>
        <v>1109</v>
      </c>
      <c r="B9" s="328">
        <v>36034</v>
      </c>
      <c r="C9" s="134">
        <f>IF(B9="","",B9-'Visit 1 - Neglect'!B8)</f>
        <v>22</v>
      </c>
      <c r="D9" s="134">
        <f>IF(B9="","",B9-'Visit 2'!B9)</f>
        <v>6</v>
      </c>
      <c r="E9" s="43">
        <v>20</v>
      </c>
      <c r="F9" s="46">
        <v>27</v>
      </c>
      <c r="G9" s="25" t="s">
        <v>51</v>
      </c>
    </row>
    <row r="10" spans="1:7" ht="12.75">
      <c r="A10" s="320">
        <f>IF(Demography!A9="","",Demography!A9)</f>
        <v>1054</v>
      </c>
      <c r="B10" s="328">
        <v>36043</v>
      </c>
      <c r="C10" s="134">
        <f>IF(B10="","",B10-'Visit 1 - Neglect'!B9)</f>
        <v>30</v>
      </c>
      <c r="D10" s="134">
        <f>IF(B10="","",B10-'Visit 2'!B10)</f>
        <v>10</v>
      </c>
      <c r="E10" s="43">
        <v>37</v>
      </c>
      <c r="F10" s="46">
        <v>8</v>
      </c>
      <c r="G10" s="25" t="s">
        <v>51</v>
      </c>
    </row>
    <row r="11" spans="1:7" ht="12.75">
      <c r="A11" s="1">
        <f>IF(Demography!A10="","",Demography!A10)</f>
        <v>1141</v>
      </c>
      <c r="B11" s="328">
        <v>36236</v>
      </c>
      <c r="C11" s="134">
        <f>IF(B11="","",B11-'Visit 1 - Neglect'!B10)</f>
        <v>46</v>
      </c>
      <c r="D11" s="134">
        <f>IF(B11="","",B11-'Visit 2'!B11)</f>
        <v>7</v>
      </c>
      <c r="E11" s="43">
        <v>20</v>
      </c>
      <c r="F11" s="46">
        <v>32</v>
      </c>
      <c r="G11" s="25" t="s">
        <v>51</v>
      </c>
    </row>
    <row r="12" spans="1:7" ht="12.75">
      <c r="A12" s="1">
        <f>IF(Demography!A11="","",Demography!A11)</f>
        <v>992</v>
      </c>
      <c r="B12" s="328">
        <v>36099</v>
      </c>
      <c r="C12" s="134">
        <f>IF(B12="","",B12-'Visit 1 - Neglect'!B11)</f>
        <v>43</v>
      </c>
      <c r="D12" s="134">
        <f>IF(B12="","",B12-'Visit 2'!B12)</f>
        <v>8</v>
      </c>
      <c r="E12" s="43">
        <v>22</v>
      </c>
      <c r="F12" s="46">
        <v>15</v>
      </c>
      <c r="G12" s="25" t="s">
        <v>57</v>
      </c>
    </row>
    <row r="13" spans="1:7" ht="12.75">
      <c r="A13" s="1">
        <f>IF(Demography!A12="","",Demography!A12)</f>
        <v>1163</v>
      </c>
      <c r="B13" s="328">
        <v>36239</v>
      </c>
      <c r="C13" s="134">
        <f>IF(B13="","",B13-'Visit 1 - Neglect'!B12)</f>
        <v>25</v>
      </c>
      <c r="D13" s="134">
        <f>IF(B13="","",B13-'Visit 2'!B13)</f>
        <v>7</v>
      </c>
      <c r="E13" s="43">
        <v>20</v>
      </c>
      <c r="F13" s="46">
        <v>14</v>
      </c>
      <c r="G13" s="25" t="s">
        <v>57</v>
      </c>
    </row>
    <row r="14" spans="1:7" ht="12.75">
      <c r="A14" s="1">
        <f>IF(Demography!A13="","",Demography!A13)</f>
        <v>1190</v>
      </c>
      <c r="B14" s="328">
        <v>36330</v>
      </c>
      <c r="C14" s="134">
        <f>IF(B14="","",B14-'Visit 1 - Neglect'!B13)</f>
        <v>86</v>
      </c>
      <c r="D14" s="134">
        <f>IF(B14="","",B14-'Visit 2'!B14)</f>
        <v>7</v>
      </c>
      <c r="E14" s="43">
        <v>24</v>
      </c>
      <c r="F14" s="46">
        <v>10</v>
      </c>
      <c r="G14" s="25" t="s">
        <v>51</v>
      </c>
    </row>
    <row r="15" spans="1:7" ht="12.75">
      <c r="A15" s="1">
        <f>IF(Demography!A14="","",Demography!A14)</f>
        <v>1231</v>
      </c>
      <c r="B15" s="328">
        <v>36322</v>
      </c>
      <c r="C15" s="134">
        <f>IF(B15="","",B15-'Visit 1 - Neglect'!B14)</f>
        <v>14</v>
      </c>
      <c r="D15" s="134">
        <f>IF(B15="","",B15-'Visit 2'!B15)</f>
        <v>6</v>
      </c>
      <c r="E15" s="43">
        <v>20</v>
      </c>
      <c r="F15" s="46">
        <v>22</v>
      </c>
      <c r="G15" s="25" t="s">
        <v>51</v>
      </c>
    </row>
    <row r="16" spans="1:7" ht="12.75">
      <c r="A16" s="315">
        <f>IF(Demography!A15="","",Demography!A15)</f>
        <v>1235</v>
      </c>
      <c r="B16" s="328">
        <v>36348</v>
      </c>
      <c r="C16" s="134">
        <f>IF(B16="","",B16-'Visit 1 - Neglect'!B15)</f>
        <v>12</v>
      </c>
      <c r="D16" s="134">
        <f>IF(B16="","",B16-'Visit 2'!B16)</f>
        <v>11</v>
      </c>
      <c r="E16" s="43">
        <v>28</v>
      </c>
      <c r="F16" s="46">
        <v>15</v>
      </c>
      <c r="G16" s="25" t="s">
        <v>51</v>
      </c>
    </row>
    <row r="17" spans="1:7" ht="12.75">
      <c r="A17" s="1">
        <f>IF(Demography!A16="","",Demography!A16)</f>
        <v>1249</v>
      </c>
      <c r="B17" s="328">
        <v>36387</v>
      </c>
      <c r="C17" s="134">
        <f>IF(B17="","",B17-'Visit 1 - Neglect'!B16)</f>
        <v>31</v>
      </c>
      <c r="D17" s="134">
        <f>IF(B17="","",B17-'Visit 2'!B17)</f>
        <v>8</v>
      </c>
      <c r="E17" s="43">
        <v>25</v>
      </c>
      <c r="F17" s="46">
        <v>8</v>
      </c>
      <c r="G17" s="25" t="s">
        <v>51</v>
      </c>
    </row>
    <row r="18" spans="1:7" ht="12.75">
      <c r="A18" s="1">
        <f>IF(Demography!A17="","",Demography!A17)</f>
        <v>1308</v>
      </c>
      <c r="B18" s="328">
        <v>36647</v>
      </c>
      <c r="C18" s="134">
        <f>IF(B18="","",B18-'Visit 1 - Neglect'!B17)</f>
        <v>74</v>
      </c>
      <c r="D18" s="134">
        <f>IF(B18="","",B18-'Visit 2'!B18)</f>
        <v>12</v>
      </c>
      <c r="E18" s="43">
        <v>22</v>
      </c>
      <c r="F18" s="46">
        <v>20</v>
      </c>
      <c r="G18" s="25" t="s">
        <v>51</v>
      </c>
    </row>
    <row r="19" spans="1:7" ht="12.75">
      <c r="A19" s="1">
        <f>IF(Demography!A18="","",Demography!A18)</f>
        <v>1287</v>
      </c>
      <c r="B19" s="328">
        <v>36673</v>
      </c>
      <c r="C19" s="134">
        <f>IF(B19="","",B19-'Visit 1 - Neglect'!B18)</f>
        <v>169</v>
      </c>
      <c r="D19" s="134">
        <f>IF(B19="","",B19-'Visit 2'!B19)</f>
        <v>7</v>
      </c>
      <c r="E19" s="43">
        <v>22</v>
      </c>
      <c r="F19" s="46">
        <v>15</v>
      </c>
      <c r="G19" s="25" t="s">
        <v>51</v>
      </c>
    </row>
    <row r="20" spans="1:7" ht="12.75">
      <c r="A20" s="4">
        <f>IF(Demography!A19="","",Demography!A19)</f>
        <v>1467</v>
      </c>
      <c r="B20" s="328">
        <v>36838</v>
      </c>
      <c r="C20" s="134">
        <f>IF(B20="","",B20-'Visit 1 - Neglect'!B19)</f>
        <v>28</v>
      </c>
      <c r="D20" s="134">
        <f>IF(B20="","",B20-'Visit 2'!B20)</f>
        <v>20</v>
      </c>
      <c r="E20" s="43">
        <v>22</v>
      </c>
      <c r="F20" s="46">
        <v>20</v>
      </c>
      <c r="G20" s="25" t="s">
        <v>9</v>
      </c>
    </row>
    <row r="21" spans="1:7" ht="12.75">
      <c r="A21" s="1">
        <f>IF(Demography!A20="","",Demography!A20)</f>
        <v>1324</v>
      </c>
      <c r="B21" s="328">
        <v>36846</v>
      </c>
      <c r="C21" s="134">
        <f>IF(B21="","",B21-'Visit 1 - Neglect'!B20)</f>
        <v>52</v>
      </c>
      <c r="D21" s="134">
        <f>IF(B21="","",B21-'Visit 2'!B21)</f>
        <v>12</v>
      </c>
      <c r="E21" s="43">
        <v>22</v>
      </c>
      <c r="F21" s="46">
        <v>20</v>
      </c>
      <c r="G21" s="25" t="s">
        <v>9</v>
      </c>
    </row>
    <row r="22" spans="1:7" ht="12.75">
      <c r="A22" s="1">
        <f>IF(Demography!A21="","",Demography!A21)</f>
        <v>1565</v>
      </c>
      <c r="B22" s="328">
        <v>37051</v>
      </c>
      <c r="C22" s="134">
        <f>IF(B22="","",B22-'Visit 1 - Neglect'!B21)</f>
        <v>18</v>
      </c>
      <c r="D22" s="134">
        <v>6</v>
      </c>
      <c r="E22" s="43">
        <v>20</v>
      </c>
      <c r="F22" s="46">
        <v>23</v>
      </c>
      <c r="G22" s="25" t="s">
        <v>9</v>
      </c>
    </row>
    <row r="23" spans="1:7" ht="12.75">
      <c r="A23" s="1">
        <f>IF(Demography!A22="","",Demography!A22)</f>
        <v>1579</v>
      </c>
      <c r="B23" s="328">
        <v>37072</v>
      </c>
      <c r="C23" s="134">
        <f>IF(B23="","",B23-'Visit 1 - Neglect'!B22)</f>
        <v>18</v>
      </c>
      <c r="D23" s="134">
        <f>IF(B23="","",B23-'Visit 2'!B23)</f>
        <v>14</v>
      </c>
      <c r="E23" s="43">
        <v>20</v>
      </c>
      <c r="F23" s="46">
        <v>24</v>
      </c>
      <c r="G23" s="25" t="s">
        <v>9</v>
      </c>
    </row>
    <row r="24" spans="1:7" ht="12.75">
      <c r="A24" s="1">
        <f>IF(Demography!A23="","",Demography!A23)</f>
        <v>1580</v>
      </c>
      <c r="B24" s="328">
        <v>37093</v>
      </c>
      <c r="C24" s="134">
        <f>IF(B24="","",B24-'Visit 1 - Neglect'!B23)</f>
        <v>42</v>
      </c>
      <c r="D24" s="134">
        <f>IF(B24="","",B24-'Visit 2'!B24)</f>
        <v>7</v>
      </c>
      <c r="E24" s="43">
        <v>22</v>
      </c>
      <c r="F24" s="46">
        <v>22</v>
      </c>
      <c r="G24" s="25" t="s">
        <v>9</v>
      </c>
    </row>
    <row r="25" spans="1:7" ht="12.75">
      <c r="A25" s="315">
        <f>IF(Demography!A24="","",Demography!A24)</f>
        <v>1595</v>
      </c>
      <c r="B25" s="328"/>
      <c r="C25" s="134">
        <f>IF(B25="","",B25-'Visit 1 - Neglect'!B24)</f>
      </c>
      <c r="D25" s="134">
        <f>IF(B25="","",B25-'Visit 2'!B25)</f>
      </c>
      <c r="E25" s="43"/>
      <c r="F25" s="46"/>
      <c r="G25" s="25"/>
    </row>
    <row r="26" spans="1:7" ht="12.75">
      <c r="A26" s="1">
        <f>IF(Demography!A25="","",Demography!A25)</f>
        <v>1598</v>
      </c>
      <c r="B26" s="330">
        <v>37149</v>
      </c>
      <c r="C26" s="137">
        <f>IF(B26="","",B26-'Visit 1 - Neglect'!B25)</f>
        <v>14</v>
      </c>
      <c r="D26" s="137">
        <f>IF(B26="","",B26-'Visit 2'!B26)</f>
        <v>7</v>
      </c>
      <c r="E26" s="348">
        <v>21</v>
      </c>
      <c r="F26" s="52">
        <v>21</v>
      </c>
      <c r="G26" s="140" t="s">
        <v>9</v>
      </c>
    </row>
    <row r="27" spans="1:7" ht="12.75">
      <c r="A27" s="370" t="s">
        <v>329</v>
      </c>
      <c r="B27" s="438" t="s">
        <v>326</v>
      </c>
      <c r="C27" s="5"/>
      <c r="D27" s="428" t="s">
        <v>305</v>
      </c>
      <c r="E27" s="429"/>
      <c r="G27" s="129"/>
    </row>
    <row r="28" spans="1:7" ht="12.75">
      <c r="A28" s="370"/>
      <c r="B28" s="439"/>
      <c r="D28" s="238" t="s">
        <v>24</v>
      </c>
      <c r="E28" s="235">
        <f>AVERAGE(E4:E7,E9,E11:E15,E17:E24,E26)</f>
        <v>21.94736842105263</v>
      </c>
      <c r="G28" s="129"/>
    </row>
    <row r="29" spans="1:7" ht="12.75">
      <c r="A29" s="370"/>
      <c r="B29" s="140">
        <f>COUNTA(B4:B26)</f>
        <v>21</v>
      </c>
      <c r="C29" s="1"/>
      <c r="D29" s="238" t="s">
        <v>74</v>
      </c>
      <c r="E29" s="235">
        <f>STDEV(E4:E7,E9,E11:E15,E17:E24,E26)</f>
        <v>1.9853262874994377</v>
      </c>
      <c r="G29" s="8"/>
    </row>
    <row r="30" spans="1:7" ht="12.75">
      <c r="A30" s="370"/>
      <c r="D30" s="238" t="s">
        <v>75</v>
      </c>
      <c r="E30" s="235">
        <f>MEDIAN(E4:E7,E9,E11:E15,E17:E24,E26)</f>
        <v>22</v>
      </c>
      <c r="G30" s="8"/>
    </row>
    <row r="31" spans="4:7" ht="12.75">
      <c r="D31" s="238" t="s">
        <v>322</v>
      </c>
      <c r="E31" s="235">
        <f>MIN(E4:E7,E9,E11:E15,E17:E24,E26)</f>
        <v>20</v>
      </c>
      <c r="G31" s="8"/>
    </row>
    <row r="32" spans="4:5" ht="13.5" thickBot="1">
      <c r="D32" s="241" t="s">
        <v>323</v>
      </c>
      <c r="E32" s="236">
        <f>MAX(E4:E7,E9,E11:E15,E17:E24,E26)</f>
        <v>26</v>
      </c>
    </row>
    <row r="33" ht="12.75">
      <c r="D33" s="26"/>
    </row>
    <row r="34" ht="12.75">
      <c r="D34" s="26"/>
    </row>
  </sheetData>
  <mergeCells count="7">
    <mergeCell ref="D27:E27"/>
    <mergeCell ref="A1:A2"/>
    <mergeCell ref="E2:F2"/>
    <mergeCell ref="B2:D2"/>
    <mergeCell ref="B1:G1"/>
    <mergeCell ref="B27:B28"/>
    <mergeCell ref="A27:A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6" sqref="E26"/>
    </sheetView>
  </sheetViews>
  <sheetFormatPr defaultColWidth="9.140625" defaultRowHeight="12"/>
  <cols>
    <col min="1" max="1" width="21.28125" style="1" customWidth="1"/>
    <col min="2" max="4" width="12.00390625" style="1" customWidth="1"/>
    <col min="5" max="5" width="31.8515625" style="1" customWidth="1"/>
    <col min="6" max="16384" width="12.00390625" style="1" customWidth="1"/>
  </cols>
  <sheetData>
    <row r="1" spans="1:5" ht="43.5" customHeight="1">
      <c r="A1" s="440" t="s">
        <v>118</v>
      </c>
      <c r="B1" s="442" t="s">
        <v>28</v>
      </c>
      <c r="C1" s="442"/>
      <c r="D1" s="442"/>
      <c r="E1" s="442"/>
    </row>
    <row r="2" spans="1:7" ht="58.5" customHeight="1">
      <c r="A2" s="441"/>
      <c r="B2" s="434" t="s">
        <v>60</v>
      </c>
      <c r="C2" s="434"/>
      <c r="D2" s="426"/>
      <c r="E2" s="61" t="s">
        <v>58</v>
      </c>
      <c r="F2" s="18"/>
      <c r="G2" s="18"/>
    </row>
    <row r="3" spans="1:5" s="108" customFormat="1" ht="44.25" customHeight="1">
      <c r="A3" s="243" t="s">
        <v>55</v>
      </c>
      <c r="B3" s="152" t="s">
        <v>62</v>
      </c>
      <c r="C3" s="58" t="s">
        <v>53</v>
      </c>
      <c r="D3" s="141" t="s">
        <v>63</v>
      </c>
      <c r="E3" s="152" t="s">
        <v>59</v>
      </c>
    </row>
    <row r="4" spans="1:5" ht="12.75">
      <c r="A4" s="36">
        <f>IF(Demography!A3="","",Demography!A3)</f>
        <v>970</v>
      </c>
      <c r="B4" s="329">
        <v>35942</v>
      </c>
      <c r="C4" s="134">
        <f>IF(B4="","",B4-'Visit 1 - Neglect'!B3)</f>
        <v>46</v>
      </c>
      <c r="D4" s="134">
        <f>IF(B4="","",B4-'Visit 2'!B4)</f>
        <v>27</v>
      </c>
      <c r="E4" s="139" t="s">
        <v>51</v>
      </c>
    </row>
    <row r="5" spans="1:5" ht="12.75">
      <c r="A5" s="36">
        <f>IF(Demography!A4="","",Demography!A4)</f>
        <v>979</v>
      </c>
      <c r="B5" s="329">
        <v>35973</v>
      </c>
      <c r="C5" s="134">
        <f>IF(B5="","",B5-'Visit 1 - Neglect'!B4)</f>
        <v>18</v>
      </c>
      <c r="D5" s="134">
        <f>IF(B5="","",B5-'Visit 2'!B5)</f>
        <v>9</v>
      </c>
      <c r="E5" s="139" t="s">
        <v>51</v>
      </c>
    </row>
    <row r="6" spans="1:5" ht="12.75">
      <c r="A6" s="36">
        <f>IF(Demography!A5="","",Demography!A5)</f>
        <v>1035</v>
      </c>
      <c r="B6" s="329">
        <v>36000</v>
      </c>
      <c r="C6" s="134">
        <f>IF(B6="","",B6-'Visit 1 - Neglect'!B5)</f>
        <v>50</v>
      </c>
      <c r="D6" s="134">
        <f>IF(B6="","",B6-'Visit 2'!B6)</f>
        <v>37</v>
      </c>
      <c r="E6" s="139" t="s">
        <v>51</v>
      </c>
    </row>
    <row r="7" spans="1:5" ht="12.75">
      <c r="A7" s="36">
        <f>IF(Demography!A6="","",Demography!A6)</f>
        <v>1018</v>
      </c>
      <c r="B7" s="329">
        <v>36048</v>
      </c>
      <c r="C7" s="134">
        <f>IF(B7="","",B7-'Visit 1 - Neglect'!B6)</f>
        <v>68</v>
      </c>
      <c r="D7" s="134">
        <f>IF(B7="","",B7-'Visit 2'!B7)</f>
        <v>19</v>
      </c>
      <c r="E7" s="139" t="s">
        <v>51</v>
      </c>
    </row>
    <row r="8" spans="1:5" ht="12.75">
      <c r="A8" s="314">
        <f>IF(Demography!A7="","",Demography!A7)</f>
        <v>1106</v>
      </c>
      <c r="B8" s="331"/>
      <c r="C8" s="134">
        <f>IF(B8="","",B8-'Visit 1 - Neglect'!B7)</f>
      </c>
      <c r="D8" s="134">
        <f>IF(B8="","",B8-'Visit 2'!B8)</f>
      </c>
      <c r="E8" s="25"/>
    </row>
    <row r="9" spans="1:5" ht="12.75">
      <c r="A9" s="36">
        <f>IF(Demography!A8="","",Demography!A8)</f>
        <v>1109</v>
      </c>
      <c r="B9" s="331">
        <v>36041</v>
      </c>
      <c r="C9" s="134">
        <f>IF(B9="","",B9-'Visit 1 - Neglect'!B8)</f>
        <v>29</v>
      </c>
      <c r="D9" s="134">
        <f>IF(B9="","",B9-'Visit 2'!B9)</f>
        <v>13</v>
      </c>
      <c r="E9" s="25" t="s">
        <v>51</v>
      </c>
    </row>
    <row r="10" spans="1:5" ht="12.75">
      <c r="A10" s="314">
        <f>IF(Demography!A9="","",Demography!A9)</f>
        <v>1054</v>
      </c>
      <c r="B10" s="331">
        <v>36061</v>
      </c>
      <c r="C10" s="134">
        <f>IF(B10="","",B10-'Visit 1 - Neglect'!B9)</f>
        <v>48</v>
      </c>
      <c r="D10" s="134">
        <f>IF(B10="","",B10-'Visit 2'!B10)</f>
        <v>28</v>
      </c>
      <c r="E10" s="25" t="s">
        <v>51</v>
      </c>
    </row>
    <row r="11" spans="1:5" ht="12.75">
      <c r="A11" s="36">
        <f>IF(Demography!A10="","",Demography!A10)</f>
        <v>1141</v>
      </c>
      <c r="B11" s="331">
        <v>36250</v>
      </c>
      <c r="C11" s="134">
        <f>IF(B11="","",B11-'Visit 1 - Neglect'!B10)</f>
        <v>60</v>
      </c>
      <c r="D11" s="134">
        <f>IF(B11="","",B11-'Visit 2'!B11)</f>
        <v>21</v>
      </c>
      <c r="E11" s="25" t="s">
        <v>51</v>
      </c>
    </row>
    <row r="12" spans="1:5" ht="12.75">
      <c r="A12" s="37">
        <f>IF(Demography!A11="","",Demography!A11)</f>
        <v>992</v>
      </c>
      <c r="B12" s="331">
        <v>36446</v>
      </c>
      <c r="C12" s="134">
        <f>IF(B12="","",B12-'Visit 1 - Neglect'!B11-339)</f>
        <v>51</v>
      </c>
      <c r="D12" s="134">
        <f>IF(B12="","",B12-'Visit 2'!B12-339)</f>
        <v>16</v>
      </c>
      <c r="E12" s="25" t="s">
        <v>33</v>
      </c>
    </row>
    <row r="13" spans="1:5" ht="12.75">
      <c r="A13" s="36">
        <f>IF(Demography!A12="","",Demography!A12)</f>
        <v>1163</v>
      </c>
      <c r="B13" s="331">
        <v>36253</v>
      </c>
      <c r="C13" s="134">
        <f>IF(B13="","",B13-'Visit 1 - Neglect'!B12)</f>
        <v>39</v>
      </c>
      <c r="D13" s="134">
        <f>IF(B13="","",B13-'Visit 2'!B13)</f>
        <v>21</v>
      </c>
      <c r="E13" s="25" t="s">
        <v>51</v>
      </c>
    </row>
    <row r="14" spans="1:5" ht="12.75">
      <c r="A14" s="36">
        <f>IF(Demography!A13="","",Demography!A13)</f>
        <v>1190</v>
      </c>
      <c r="B14" s="331">
        <v>36343</v>
      </c>
      <c r="C14" s="134">
        <f>IF(B14="","",B14-'Visit 1 - Neglect'!B13)</f>
        <v>99</v>
      </c>
      <c r="D14" s="134">
        <f>IF(B14="","",B14-'Visit 2'!B14)</f>
        <v>20</v>
      </c>
      <c r="E14" s="25" t="s">
        <v>51</v>
      </c>
    </row>
    <row r="15" spans="1:5" ht="12.75">
      <c r="A15" s="36">
        <f>IF(Demography!A14="","",Demography!A14)</f>
        <v>1231</v>
      </c>
      <c r="B15" s="331">
        <v>36364</v>
      </c>
      <c r="C15" s="134">
        <f>IF(B15="","",B15-'Visit 1 - Neglect'!B14)</f>
        <v>56</v>
      </c>
      <c r="D15" s="134">
        <f>IF(B15="","",B15-'Visit 2'!B15)</f>
        <v>48</v>
      </c>
      <c r="E15" s="25" t="s">
        <v>51</v>
      </c>
    </row>
    <row r="16" spans="1:5" ht="12.75">
      <c r="A16" s="314">
        <f>IF(Demography!A15="","",Demography!A15)</f>
        <v>1235</v>
      </c>
      <c r="B16" s="331"/>
      <c r="C16" s="134">
        <f>IF(B16="","",B16-'Visit 1 - Neglect'!B15)</f>
      </c>
      <c r="D16" s="134">
        <f>IF(B16="","",B16-'Visit 2'!B16)</f>
      </c>
      <c r="E16" s="25"/>
    </row>
    <row r="17" spans="1:5" ht="12.75">
      <c r="A17" s="36">
        <f>IF(Demography!A16="","",Demography!A16)</f>
        <v>1249</v>
      </c>
      <c r="B17" s="331">
        <v>36401</v>
      </c>
      <c r="C17" s="134">
        <f>IF(B17="","",B17-'Visit 1 - Neglect'!B16)</f>
        <v>45</v>
      </c>
      <c r="D17" s="134">
        <f>IF(B17="","",B17-'Visit 2'!B17)</f>
        <v>22</v>
      </c>
      <c r="E17" s="25" t="s">
        <v>51</v>
      </c>
    </row>
    <row r="18" spans="1:5" ht="12.75">
      <c r="A18" s="36">
        <f>IF(Demography!A17="","",Demography!A17)</f>
        <v>1308</v>
      </c>
      <c r="B18" s="331">
        <v>36665</v>
      </c>
      <c r="C18" s="134">
        <f>IF(B18="","",B18-'Visit 1 - Neglect'!B17)</f>
        <v>92</v>
      </c>
      <c r="D18" s="134">
        <f>IF(B18="","",B18-'Visit 2'!B18)</f>
        <v>30</v>
      </c>
      <c r="E18" s="25" t="s">
        <v>51</v>
      </c>
    </row>
    <row r="19" spans="1:5" ht="12.75">
      <c r="A19" s="36">
        <f>IF(Demography!A18="","",Demography!A18)</f>
        <v>1287</v>
      </c>
      <c r="B19" s="331">
        <v>36680</v>
      </c>
      <c r="C19" s="134">
        <f>IF(B19="","",B19-'Visit 1 - Neglect'!B18)</f>
        <v>176</v>
      </c>
      <c r="D19" s="134">
        <f>IF(B19="","",B19-'Visit 2'!B19)</f>
        <v>14</v>
      </c>
      <c r="E19" s="25" t="s">
        <v>51</v>
      </c>
    </row>
    <row r="20" spans="1:5" ht="12.75">
      <c r="A20" s="37">
        <f>IF(Demography!A19="","",Demography!A19)</f>
        <v>1467</v>
      </c>
      <c r="B20" s="46"/>
      <c r="C20" s="134"/>
      <c r="D20" s="134"/>
      <c r="E20" s="25" t="s">
        <v>9</v>
      </c>
    </row>
    <row r="21" spans="1:5" ht="12.75">
      <c r="A21" s="36">
        <f>IF(Demography!A20="","",Demography!A20)</f>
        <v>1324</v>
      </c>
      <c r="B21" s="46"/>
      <c r="C21" s="134"/>
      <c r="D21" s="134"/>
      <c r="E21" s="25" t="s">
        <v>9</v>
      </c>
    </row>
    <row r="22" spans="1:5" ht="12.75">
      <c r="A22" s="36">
        <f>IF(Demography!A21="","",Demography!A21)</f>
        <v>1565</v>
      </c>
      <c r="B22" s="46"/>
      <c r="C22" s="134"/>
      <c r="D22" s="332"/>
      <c r="E22" s="25" t="s">
        <v>9</v>
      </c>
    </row>
    <row r="23" spans="1:5" ht="12.75">
      <c r="A23" s="36">
        <f>IF(Demography!A22="","",Demography!A22)</f>
        <v>1579</v>
      </c>
      <c r="B23" s="46"/>
      <c r="C23" s="134"/>
      <c r="D23" s="134"/>
      <c r="E23" s="25" t="s">
        <v>9</v>
      </c>
    </row>
    <row r="24" spans="1:5" ht="12.75">
      <c r="A24" s="36">
        <f>IF(Demography!A23="","",Demography!A23)</f>
        <v>1580</v>
      </c>
      <c r="B24" s="46"/>
      <c r="C24" s="134"/>
      <c r="D24" s="134"/>
      <c r="E24" s="25" t="s">
        <v>9</v>
      </c>
    </row>
    <row r="25" spans="1:5" ht="12.75">
      <c r="A25" s="314">
        <f>IF(Demography!A24="","",Demography!A24)</f>
        <v>1595</v>
      </c>
      <c r="B25" s="46"/>
      <c r="C25" s="134"/>
      <c r="D25" s="134"/>
      <c r="E25" s="25"/>
    </row>
    <row r="26" spans="1:5" ht="12.75">
      <c r="A26" s="51">
        <f>IF(Demography!A25="","",Demography!A25)</f>
        <v>1598</v>
      </c>
      <c r="B26" s="52"/>
      <c r="C26" s="137"/>
      <c r="D26" s="54"/>
      <c r="E26" s="140" t="s">
        <v>9</v>
      </c>
    </row>
    <row r="27" spans="1:2" ht="12.75">
      <c r="A27" s="370" t="s">
        <v>329</v>
      </c>
      <c r="B27" s="438" t="s">
        <v>327</v>
      </c>
    </row>
    <row r="28" spans="1:4" ht="12.75">
      <c r="A28" s="370"/>
      <c r="B28" s="439"/>
      <c r="D28" s="65"/>
    </row>
    <row r="29" spans="1:4" ht="12.75">
      <c r="A29" s="370"/>
      <c r="B29" s="140">
        <f>COUNTA(B4:B26)</f>
        <v>14</v>
      </c>
      <c r="D29" s="26"/>
    </row>
    <row r="30" spans="1:4" ht="12.75">
      <c r="A30" s="370"/>
      <c r="D30" s="26"/>
    </row>
    <row r="31" ht="12.75">
      <c r="D31" s="26"/>
    </row>
    <row r="32" ht="12.75">
      <c r="D32" s="26"/>
    </row>
    <row r="33" ht="12.75">
      <c r="D33" s="26"/>
    </row>
  </sheetData>
  <mergeCells count="5">
    <mergeCell ref="A27:A30"/>
    <mergeCell ref="A1:A2"/>
    <mergeCell ref="B1:E1"/>
    <mergeCell ref="B2:D2"/>
    <mergeCell ref="B27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OptoVision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Giorgi</dc:creator>
  <cp:keywords/>
  <dc:description/>
  <cp:lastModifiedBy>Rob Giorgi</cp:lastModifiedBy>
  <cp:lastPrinted>2008-08-01T20:22:11Z</cp:lastPrinted>
  <dcterms:created xsi:type="dcterms:W3CDTF">2002-06-11T19:35:30Z</dcterms:created>
  <dcterms:modified xsi:type="dcterms:W3CDTF">2008-08-13T16:57:34Z</dcterms:modified>
  <cp:category/>
  <cp:version/>
  <cp:contentType/>
  <cp:contentStatus/>
</cp:coreProperties>
</file>